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state="hidden" r:id="rId3"/>
    <sheet name="отчет 2011" sheetId="4" state="hidden" r:id="rId4"/>
    <sheet name="План 2011" sheetId="5" state="hidden" r:id="rId5"/>
    <sheet name="План 2012" sheetId="6" state="hidden" r:id="rId6"/>
    <sheet name="09.12" sheetId="7" state="hidden" r:id="rId7"/>
    <sheet name="отчет 2012 стар" sheetId="8" r:id="rId8"/>
    <sheet name="накопит отчет стар" sheetId="9" state="hidden" r:id="rId9"/>
  </sheets>
  <definedNames/>
  <calcPr fullCalcOnLoad="1"/>
</workbook>
</file>

<file path=xl/sharedStrings.xml><?xml version="1.0" encoding="utf-8"?>
<sst xmlns="http://schemas.openxmlformats.org/spreadsheetml/2006/main" count="735" uniqueCount="267">
  <si>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</si>
  <si>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</si>
  <si>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</si>
  <si>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</si>
  <si>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</si>
  <si>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</si>
  <si>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</si>
  <si>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</si>
  <si>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</si>
  <si>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</si>
  <si>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</si>
  <si>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</si>
  <si>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</si>
  <si>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</si>
  <si>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</si>
  <si>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</si>
  <si>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</si>
  <si>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</si>
  <si>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</si>
  <si>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</si>
  <si>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</si>
  <si>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</si>
  <si>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</si>
  <si>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</si>
  <si>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</si>
  <si>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</si>
  <si>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</si>
  <si>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</si>
  <si>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</si>
  <si>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</si>
  <si>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</si>
  <si>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</si>
  <si>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</si>
  <si>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</si>
  <si>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</si>
  <si>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</si>
  <si>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</si>
  <si>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</si>
  <si>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</si>
  <si>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</si>
  <si>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</si>
  <si>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</si>
  <si>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</si>
  <si>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</si>
  <si>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</si>
  <si>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</si>
  <si>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</si>
  <si>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</si>
  <si>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</si>
  <si>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</si>
  <si>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</si>
  <si>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</si>
  <si>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</si>
  <si>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</si>
  <si>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</si>
  <si>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</si>
  <si>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</si>
  <si>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</si>
  <si>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</si>
  <si>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</si>
  <si>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</si>
  <si>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</si>
  <si>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</si>
  <si>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</si>
  <si>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</si>
  <si>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</si>
  <si>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</si>
  <si>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</si>
  <si>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</si>
  <si>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</si>
  <si>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</si>
  <si>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</si>
  <si>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</si>
  <si>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</si>
  <si>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</si>
  <si>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</si>
  <si>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</si>
  <si>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</si>
  <si>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есть</t>
  </si>
  <si>
    <t>Принято: старший по дому</t>
  </si>
  <si>
    <t>Беляева О.Ф.</t>
  </si>
  <si>
    <t>Противопожарные мероприятия:  содержание и обслуживание вентканалов и шахт</t>
  </si>
  <si>
    <t>Претензий по управлению нет  (да)</t>
  </si>
  <si>
    <t>Директор ООО "ОЖКС №2"</t>
  </si>
  <si>
    <t>Ленина, 35</t>
  </si>
  <si>
    <t xml:space="preserve">Адрес: </t>
  </si>
  <si>
    <t xml:space="preserve">        Представитель собственников  - старший по дому                                                             , с одной стороны и Общество с Ограниченной Ответственностью "Октябрьский Жилкомсервис № 2" в лице директора Беляевой О.Ф., действующей на основании Устава,  с другой стороны, составили настоящий отчет о выполненных работах  в  2009г.      </t>
  </si>
  <si>
    <t>ОТЧЕТ
о выполненных работах в 2008 году по договору управления МКД 
№ __  от 28.03.2008 г., заключенного между ООО "ОЖКС № 2" и собственниками многоквартирного дома
по адресу:  пр. Ленина, 35</t>
  </si>
  <si>
    <t xml:space="preserve">        Представитель собственников  - старший по дому Мантлер С.Н., с одной стороны и Общество с Ограниченной Ответственностью "Октябрьский Жилкомсервис № 2" в лице директора Беляевой О.Ф.,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</si>
  <si>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</si>
  <si>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</si>
  <si>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</si>
  <si>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</si>
  <si>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</si>
  <si>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</si>
  <si>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</si>
  <si>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</si>
  <si>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</si>
  <si>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</si>
  <si>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</si>
  <si>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</si>
  <si>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</si>
  <si>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</si>
  <si>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из них:</t>
  </si>
  <si>
    <t xml:space="preserve"> - собственников</t>
  </si>
  <si>
    <t xml:space="preserve"> - нанимателей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</si>
  <si>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</si>
  <si>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</si>
  <si>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</si>
  <si>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</si>
  <si>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</si>
  <si>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</si>
  <si>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</si>
  <si>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</si>
  <si>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</si>
  <si>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- долг  населения за текущий год</t>
  </si>
  <si>
    <t xml:space="preserve"> 4.3</t>
  </si>
  <si>
    <t>Наем:</t>
  </si>
  <si>
    <t>Итого доходов:</t>
  </si>
  <si>
    <t>Итого долг 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</si>
  <si>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</si>
  <si>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</si>
  <si>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</si>
  <si>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</si>
  <si>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</si>
  <si>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</si>
  <si>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</si>
  <si>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</si>
  <si>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</si>
  <si>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</si>
  <si>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</si>
  <si>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</si>
  <si>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</si>
  <si>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</si>
  <si>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2"                                               О.Ф.Беляева                                      </t>
  </si>
  <si>
    <t>Принято:</t>
  </si>
  <si>
    <t>Старший по дому                                                                     С.Н. Мантлер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</si>
  <si>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</si>
  <si>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</si>
  <si>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</si>
  <si>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</si>
  <si>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</si>
  <si>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</si>
  <si>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</si>
  <si>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Адрес: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</si>
  <si>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</si>
  <si>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</si>
  <si>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</si>
  <si>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</si>
  <si>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</si>
  <si>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</si>
  <si>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</si>
  <si>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</si>
  <si>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</si>
  <si>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</si>
  <si>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</si>
  <si>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</si>
  <si>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</si>
  <si>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</si>
  <si>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</si>
  <si>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</si>
  <si>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</si>
  <si>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</si>
  <si>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</si>
  <si>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</si>
  <si>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</si>
  <si>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</si>
  <si>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</si>
  <si>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</si>
  <si>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</si>
  <si>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2"                                                                       </t>
  </si>
  <si>
    <t>О.Ф. Беляева</t>
  </si>
  <si>
    <t xml:space="preserve">Принято: Старший по дому                                                 </t>
  </si>
  <si>
    <t>Претензий по управлению нет (да)</t>
  </si>
  <si>
    <t xml:space="preserve">                Представитель собственников  - старший по дому                                                             ,  с одной стороны и Общество с Ограниченной Ответственностью "Октябрьский Жилкомсервис № 2" в лице директора Беляевой О.Ф, действующей на основании Устава,  с другой стороны, составили настоящий отчет о выполненных работах  в  2010 г.      </t>
  </si>
  <si>
    <t xml:space="preserve">S нежилых </t>
  </si>
  <si>
    <t xml:space="preserve">помещений,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</si>
  <si>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</si>
  <si>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</si>
  <si>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</si>
  <si>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</si>
  <si>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</si>
  <si>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</si>
  <si>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</t>
    </r>
    <r>
      <rPr>
        <b/>
        <sz val="12"/>
        <color indexed="8"/>
        <rFont val="Times New Roman"/>
        <family val="1"/>
      </rPr>
      <t xml:space="preserve"> за год</t>
    </r>
    <r>
      <rPr>
        <b/>
        <sz val="12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</si>
  <si>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</si>
  <si>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</si>
  <si>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</si>
  <si>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</si>
  <si>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</si>
  <si>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</si>
  <si>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</si>
  <si>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</si>
  <si>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</si>
  <si>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</si>
  <si>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</si>
  <si>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</si>
  <si>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</si>
  <si>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</si>
  <si>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</si>
  <si>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</si>
  <si>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</si>
  <si>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</si>
  <si>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</si>
  <si>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</si>
  <si>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</si>
  <si>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</si>
  <si>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2013г</t>
  </si>
  <si>
    <t>Итого: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</si>
  <si>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</si>
  <si>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</si>
  <si>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</si>
  <si>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</si>
  <si>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</si>
  <si>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</si>
  <si>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</si>
  <si>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</si>
  <si>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2011 г. о выполнении условий  договора управления МКД № 671/2 от 28.03.2008 г., заключенного между ООО "ОЖКС № 2" и  собственниками многоквартирного дома
по адресу:  пр. Ленина, 35</t>
  </si>
  <si>
    <t xml:space="preserve">Финансовый результат за 2011г. (+ экономия,- перерасход)                                                      </t>
  </si>
  <si>
    <t xml:space="preserve">ОТЧЕТ
по  договору управления МКД № 671/2 от 28.03.2008 г., заключенного между ООО "ОЖКС № 2" и собственниками многоквартирного дома
по адресу:  пр. Ленина, 35
 </t>
  </si>
  <si>
    <t>Смета доходов и расходов  на  2011 г.
согласно договора управления МКД № 671/2    от 28.03.2008 г., заключенного между
 ООО "ОЖКС № 2" и собственниками многоквартирного дома
по адресу:  пер.   пр. Ленина, 35</t>
  </si>
  <si>
    <t>Смета доходов и расходов  на  2012 г.
согласно договора управления МКД № 671/2    от 28.03.2008 г., заключенного между
 ООО "ОЖКС № 2" и собственниками многоквартирного дома
по адресу:  пер.   пр. Ленина, 35</t>
  </si>
  <si>
    <t xml:space="preserve">Капитальный ремонт  </t>
  </si>
  <si>
    <t>Справочно: индекс увеличения тарифа по году 103%:</t>
  </si>
  <si>
    <t>- с 1 января 2012г. Тариф остается на уровне 2011г.</t>
  </si>
  <si>
    <t xml:space="preserve">             Подъезд № 1,2  кв. № 1-32 уборка не производится по заявлению жителей с 01.09.2011г.</t>
  </si>
  <si>
    <t>ОТЧЕТ
за  2009 г. о выполнении условий  договора управления МКД № 430/2    от 28.03.2008 г., заключенного между ООО "ОЖКС № 2" и собственниками многоквартирного дома
по адресу:  пер.   пр. Ленина, 35</t>
  </si>
  <si>
    <t>ОТЧЕТ
за  2010 г. о выполнении условий  договора управления МКД № 430/2 от 28.03.2008 г., заключенного между ООО "ОЖКС № 2" и  собственниками многоквартирного дома
по адресу:  пр. Ленина, 35</t>
  </si>
  <si>
    <t xml:space="preserve">                Представитель собственников  - старший по дому                                                             ,  с одной стороны и Общество с Ограниченной Ответственностью "Октябрьский Жилкомсервис № 2" в лице директора Золотаревой Л.А., действующей на основании Устава,  с другой стороны, составили настоящий отчет о выполненных работах  в  2011 г.      </t>
  </si>
  <si>
    <t>Л.А. Золотарева</t>
  </si>
  <si>
    <t>Золотарева Л.А.</t>
  </si>
  <si>
    <t>- с 1 июля 2012г. к Тарифу применен индекс 106%.</t>
  </si>
  <si>
    <t>Расчет стоимости договора и тарифа 1 м2 на 2012 г.</t>
  </si>
  <si>
    <t>* в случае уточнения площадей возможно изменение стоимости</t>
  </si>
  <si>
    <t xml:space="preserve">           Представитель собственников</t>
  </si>
  <si>
    <t>________________ Л.А. Золотарева</t>
  </si>
  <si>
    <t xml:space="preserve">            ________________________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</si>
  <si>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 № ___ от "____"___________2012г.</t>
  </si>
  <si>
    <t>по плану работ</t>
  </si>
  <si>
    <t>1.2.</t>
  </si>
  <si>
    <t>1.3.</t>
  </si>
  <si>
    <t>1.1.</t>
  </si>
  <si>
    <t>Тариф 
на 1 кв.м. сентябрь-декабрь 2012г.
руб.</t>
  </si>
  <si>
    <t>Стоимость работ
сентябрь-декабрь 2012г.                      руб.</t>
  </si>
  <si>
    <t>Тариф с 1 сентября 2012 г. - 10,74 руб., капитальный ремонт - 0,80 руб.</t>
  </si>
  <si>
    <t>64 , 1 нежилое помещение</t>
  </si>
  <si>
    <t>5=гр.4*Sдома*4мес.</t>
  </si>
  <si>
    <t>подметание асфальта -   1 раз/неделю,              подбор мусора - ежедневно</t>
  </si>
  <si>
    <t>S жилых и нежилых помещений, кв.м</t>
  </si>
  <si>
    <t>Тариф 01.01.12г-30.06.12г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</si>
  <si>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</si>
  <si>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</si>
  <si>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</si>
  <si>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 xml:space="preserve"> </t>
  </si>
  <si>
    <t xml:space="preserve">Директор ООО "ОЖКС № 2"                                                                         Л.А. Золотарева                        </t>
  </si>
  <si>
    <t xml:space="preserve">Принято: Старший по дому                                                  </t>
  </si>
  <si>
    <t>___________________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</si>
  <si>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2" в лице директора Золотаревой Л.А., действующей на основании Устава,  с другой стороны, составили настоящий отчет о выполненных работах  с 01.01.2012 г по 31.08.2012г.</t>
  </si>
  <si>
    <t>Адрес: Ленина, 35</t>
  </si>
  <si>
    <t>Тариф 01.07.12г.-31.08.12г.</t>
  </si>
  <si>
    <t>Сумма с 01.01.12г.-31.08.12г., руб.</t>
  </si>
  <si>
    <t xml:space="preserve">Финансовый результат за с 01.01.12 г по 31.08.12г (+ экономия,- перерасход)                                                      </t>
  </si>
  <si>
    <t>ОТЧЕТ
с 01.01.2012 г по 31.08.2012г. о выполнении условий  договора управления МКД № 671/2 от 28.03.2008 г., заключенного между ООО "ОЖКС № 2" и собственниками многоквартирного дома по адресу:  пр. Ленина, 35</t>
  </si>
  <si>
    <t>за 8 мес 2012г</t>
  </si>
  <si>
    <t>Директор ООО "ОЖКС № 2"                                                      ____________________ Л.А. Золотарева</t>
  </si>
  <si>
    <t>Финансовый результат
по договору управления подтверждаю:</t>
  </si>
  <si>
    <t>Старший по дому:                                                                             ____________________/______________/</t>
  </si>
  <si>
    <t>Исполнитель: Биштова З.В.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</si>
</sst>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6" fontId="2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0" fontId="2" fillId="0" borderId="18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104775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5600700" y="11334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4">
      <selection activeCell="F22" sqref="F22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7.625" style="0" customWidth="1"/>
  </cols>
  <sheetData>
    <row r="1" spans="1:4" ht="104.25" customHeight="1">
      <c r="A1" s="177" t="s">
        <v>87</v>
      </c>
      <c r="B1" s="178"/>
      <c r="C1" s="178"/>
      <c r="D1" s="178"/>
    </row>
    <row r="2" spans="1:4" ht="87.75" customHeight="1">
      <c r="A2" s="179" t="s">
        <v>88</v>
      </c>
      <c r="B2" s="180"/>
      <c r="C2" s="180"/>
      <c r="D2" s="180"/>
    </row>
    <row r="3" spans="1:4" ht="20.25" customHeight="1">
      <c r="A3" s="25" t="s">
        <v>89</v>
      </c>
      <c r="B3" s="25" t="s">
        <v>90</v>
      </c>
      <c r="C3" s="11" t="s">
        <v>91</v>
      </c>
      <c r="D3" s="32"/>
    </row>
    <row r="4" spans="1:4" ht="18.75" customHeight="1">
      <c r="A4" s="39" t="s">
        <v>92</v>
      </c>
      <c r="B4" s="40" t="s">
        <v>93</v>
      </c>
      <c r="C4" s="11" t="s">
        <v>94</v>
      </c>
      <c r="D4" s="41">
        <v>5</v>
      </c>
    </row>
    <row r="5" spans="1:4" ht="15.75">
      <c r="A5" s="42" t="s">
        <v>95</v>
      </c>
      <c r="B5" s="43" t="s">
        <v>96</v>
      </c>
      <c r="C5" s="44" t="s">
        <v>97</v>
      </c>
      <c r="D5" s="45">
        <v>2551.4</v>
      </c>
    </row>
    <row r="6" spans="1:4" ht="14.25" customHeight="1">
      <c r="A6" s="42" t="s">
        <v>98</v>
      </c>
      <c r="B6" s="43" t="s">
        <v>99</v>
      </c>
      <c r="C6" s="44" t="s">
        <v>94</v>
      </c>
      <c r="D6" s="46">
        <v>64</v>
      </c>
    </row>
    <row r="7" spans="1:4" ht="15.75" hidden="1">
      <c r="A7" s="42" t="s">
        <v>100</v>
      </c>
      <c r="B7" s="43" t="s">
        <v>101</v>
      </c>
      <c r="C7" s="44" t="s">
        <v>102</v>
      </c>
      <c r="D7" s="45"/>
    </row>
    <row r="8" spans="1:4" ht="15.75" hidden="1">
      <c r="A8" s="47"/>
      <c r="B8" s="48" t="s">
        <v>103</v>
      </c>
      <c r="C8" s="38"/>
      <c r="D8" s="45"/>
    </row>
    <row r="9" spans="1:4" ht="15.75" hidden="1">
      <c r="A9" s="47"/>
      <c r="B9" s="48" t="s">
        <v>104</v>
      </c>
      <c r="C9" s="38" t="s">
        <v>102</v>
      </c>
      <c r="D9" s="45"/>
    </row>
    <row r="10" spans="1:4" ht="15.75" hidden="1">
      <c r="A10" s="47"/>
      <c r="B10" s="48" t="s">
        <v>105</v>
      </c>
      <c r="C10" s="38" t="s">
        <v>102</v>
      </c>
      <c r="D10" s="45"/>
    </row>
    <row r="11" spans="1:4" ht="16.5" customHeight="1">
      <c r="A11" s="42" t="s">
        <v>100</v>
      </c>
      <c r="B11" s="43" t="s">
        <v>106</v>
      </c>
      <c r="C11" s="38"/>
      <c r="D11" s="45"/>
    </row>
    <row r="12" spans="1:4" ht="15.75">
      <c r="A12" s="49" t="s">
        <v>107</v>
      </c>
      <c r="B12" s="43" t="s">
        <v>108</v>
      </c>
      <c r="C12" s="38"/>
      <c r="D12" s="45"/>
    </row>
    <row r="13" spans="1:4" ht="17.25" customHeight="1">
      <c r="A13" s="50"/>
      <c r="B13" s="48" t="s">
        <v>109</v>
      </c>
      <c r="C13" s="38" t="s">
        <v>110</v>
      </c>
      <c r="D13" s="45">
        <v>167268.81</v>
      </c>
    </row>
    <row r="14" spans="1:4" ht="16.5" customHeight="1">
      <c r="A14" s="50"/>
      <c r="B14" s="48" t="s">
        <v>111</v>
      </c>
      <c r="C14" s="38" t="s">
        <v>110</v>
      </c>
      <c r="D14" s="45">
        <v>159328.59</v>
      </c>
    </row>
    <row r="15" spans="1:4" ht="15.75">
      <c r="A15" s="50"/>
      <c r="B15" s="43" t="s">
        <v>112</v>
      </c>
      <c r="C15" s="44" t="s">
        <v>110</v>
      </c>
      <c r="D15" s="51">
        <f>D13-D14</f>
        <v>7940.220000000001</v>
      </c>
    </row>
    <row r="16" spans="1:4" ht="18" customHeight="1">
      <c r="A16" s="49" t="s">
        <v>113</v>
      </c>
      <c r="B16" s="43" t="s">
        <v>114</v>
      </c>
      <c r="C16" s="38"/>
      <c r="D16" s="45"/>
    </row>
    <row r="17" spans="1:4" ht="15.75">
      <c r="A17" s="50"/>
      <c r="B17" s="48" t="s">
        <v>109</v>
      </c>
      <c r="C17" s="38" t="s">
        <v>110</v>
      </c>
      <c r="D17" s="45">
        <v>10813.46</v>
      </c>
    </row>
    <row r="18" spans="1:4" ht="15.75" customHeight="1">
      <c r="A18" s="50"/>
      <c r="B18" s="48" t="s">
        <v>111</v>
      </c>
      <c r="C18" s="38" t="s">
        <v>110</v>
      </c>
      <c r="D18" s="45">
        <v>10140.98</v>
      </c>
    </row>
    <row r="19" spans="1:4" ht="15.75" customHeight="1">
      <c r="A19" s="50"/>
      <c r="B19" s="43" t="s">
        <v>115</v>
      </c>
      <c r="C19" s="44" t="s">
        <v>110</v>
      </c>
      <c r="D19" s="51">
        <f>D17-D18</f>
        <v>672.4799999999996</v>
      </c>
    </row>
    <row r="20" spans="1:4" ht="15.75" customHeight="1">
      <c r="A20" s="49" t="s">
        <v>116</v>
      </c>
      <c r="B20" s="43" t="s">
        <v>117</v>
      </c>
      <c r="C20" s="44"/>
      <c r="D20" s="51"/>
    </row>
    <row r="21" spans="1:4" ht="15.75" customHeight="1">
      <c r="A21" s="50"/>
      <c r="B21" s="48" t="s">
        <v>109</v>
      </c>
      <c r="C21" s="52" t="s">
        <v>110</v>
      </c>
      <c r="D21" s="53">
        <v>2245.44</v>
      </c>
    </row>
    <row r="22" spans="1:4" ht="15.75" customHeight="1">
      <c r="A22" s="50"/>
      <c r="B22" s="48" t="s">
        <v>111</v>
      </c>
      <c r="C22" s="52" t="s">
        <v>110</v>
      </c>
      <c r="D22" s="53">
        <v>2346.32</v>
      </c>
    </row>
    <row r="23" spans="1:4" ht="15.75" customHeight="1">
      <c r="A23" s="50"/>
      <c r="B23" s="43" t="s">
        <v>115</v>
      </c>
      <c r="C23" s="44" t="s">
        <v>110</v>
      </c>
      <c r="D23" s="51">
        <f>D21-D22</f>
        <v>-100.88000000000011</v>
      </c>
    </row>
    <row r="24" spans="1:4" ht="15" customHeight="1">
      <c r="A24" s="50"/>
      <c r="B24" s="43" t="s">
        <v>118</v>
      </c>
      <c r="C24" s="38" t="s">
        <v>110</v>
      </c>
      <c r="D24" s="51">
        <f>D13+D17+D21</f>
        <v>180327.71</v>
      </c>
    </row>
    <row r="25" spans="1:4" ht="15.75">
      <c r="A25" s="50"/>
      <c r="B25" s="43" t="s">
        <v>119</v>
      </c>
      <c r="C25" s="38" t="s">
        <v>110</v>
      </c>
      <c r="D25" s="51">
        <f>D15+D19+D23</f>
        <v>8511.82</v>
      </c>
    </row>
    <row r="26" spans="1:4" ht="15.75" customHeight="1">
      <c r="A26" s="42" t="s">
        <v>120</v>
      </c>
      <c r="B26" s="54" t="s">
        <v>121</v>
      </c>
      <c r="C26" s="38"/>
      <c r="D26" s="45"/>
    </row>
    <row r="27" spans="1:4" ht="94.5">
      <c r="A27" s="55" t="s">
        <v>122</v>
      </c>
      <c r="B27" s="56" t="s">
        <v>123</v>
      </c>
      <c r="C27" s="44" t="s">
        <v>110</v>
      </c>
      <c r="D27" s="51">
        <f>D13*0.11</f>
        <v>18399.5691</v>
      </c>
    </row>
    <row r="28" spans="1:4" ht="94.5" customHeight="1">
      <c r="A28" s="55" t="s">
        <v>124</v>
      </c>
      <c r="B28" s="56" t="s">
        <v>125</v>
      </c>
      <c r="C28" s="44" t="s">
        <v>110</v>
      </c>
      <c r="D28" s="51">
        <f>D13*0.7</f>
        <v>117088.16699999999</v>
      </c>
    </row>
    <row r="29" spans="1:4" ht="21.75" customHeight="1">
      <c r="A29" s="55" t="s">
        <v>126</v>
      </c>
      <c r="B29" s="43" t="s">
        <v>127</v>
      </c>
      <c r="C29" s="44" t="s">
        <v>110</v>
      </c>
      <c r="D29" s="57">
        <v>19618</v>
      </c>
    </row>
    <row r="30" spans="1:4" ht="18.75" customHeight="1" hidden="1">
      <c r="A30" s="55" t="s">
        <v>128</v>
      </c>
      <c r="B30" s="43" t="s">
        <v>129</v>
      </c>
      <c r="C30" s="44" t="s">
        <v>110</v>
      </c>
      <c r="D30" s="57">
        <v>0</v>
      </c>
    </row>
    <row r="31" spans="1:4" ht="17.25" customHeight="1">
      <c r="A31" s="50"/>
      <c r="B31" s="43" t="s">
        <v>130</v>
      </c>
      <c r="C31" s="44" t="s">
        <v>110</v>
      </c>
      <c r="D31" s="51">
        <f>D27+D28+D29+D30</f>
        <v>155105.73609999998</v>
      </c>
    </row>
    <row r="32" spans="1:4" ht="17.25" customHeight="1">
      <c r="A32" s="49" t="s">
        <v>62</v>
      </c>
      <c r="B32" s="43" t="s">
        <v>131</v>
      </c>
      <c r="C32" s="38" t="s">
        <v>110</v>
      </c>
      <c r="D32" s="45">
        <f>D24-D31</f>
        <v>25221.97390000001</v>
      </c>
    </row>
    <row r="33" spans="1:4" ht="31.5">
      <c r="A33" s="55" t="s">
        <v>132</v>
      </c>
      <c r="B33" s="56" t="s">
        <v>133</v>
      </c>
      <c r="C33" s="38" t="s">
        <v>110</v>
      </c>
      <c r="D33" s="45">
        <f>D32-D25</f>
        <v>16710.153900000012</v>
      </c>
    </row>
    <row r="34" spans="1:4" ht="15.75">
      <c r="A34" s="58"/>
      <c r="B34" s="59"/>
      <c r="C34" s="60"/>
      <c r="D34" s="60"/>
    </row>
    <row r="35" spans="2:4" ht="15.75">
      <c r="B35" s="61" t="s">
        <v>134</v>
      </c>
      <c r="C35" s="61"/>
      <c r="D35" s="61"/>
    </row>
    <row r="36" spans="2:4" ht="15.75">
      <c r="B36" s="61"/>
      <c r="C36" s="61"/>
      <c r="D36" s="61"/>
    </row>
    <row r="37" spans="2:4" ht="15.75">
      <c r="B37" s="62" t="s">
        <v>135</v>
      </c>
      <c r="C37" s="62"/>
      <c r="D37" s="62"/>
    </row>
    <row r="38" spans="2:4" ht="15.75">
      <c r="B38" s="61" t="s">
        <v>136</v>
      </c>
      <c r="C38" s="61"/>
      <c r="D38" s="62"/>
    </row>
    <row r="39" spans="2:4" ht="17.25" customHeight="1">
      <c r="B39" s="181" t="s">
        <v>137</v>
      </c>
      <c r="C39" s="181"/>
      <c r="D39" s="181"/>
    </row>
  </sheetData>
  <mergeCells count="3">
    <mergeCell ref="A1:D1"/>
    <mergeCell ref="A2:D2"/>
    <mergeCell ref="B39:D39"/>
  </mergeCells>
  <printOptions/>
  <pageMargins left="0.7874015748031497" right="0.31496062992125984" top="0.98425196850393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2" sqref="A2:H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85.5" customHeight="1">
      <c r="A1" s="191" t="s">
        <v>225</v>
      </c>
      <c r="B1" s="191"/>
      <c r="C1" s="191"/>
      <c r="D1" s="191"/>
      <c r="E1" s="191"/>
      <c r="F1" s="191"/>
      <c r="G1" s="191"/>
      <c r="H1" s="191"/>
    </row>
    <row r="2" spans="1:8" ht="61.5" customHeight="1">
      <c r="A2" s="192" t="s">
        <v>86</v>
      </c>
      <c r="B2" s="192"/>
      <c r="C2" s="192"/>
      <c r="D2" s="192"/>
      <c r="E2" s="192"/>
      <c r="F2" s="192"/>
      <c r="G2" s="192"/>
      <c r="H2" s="192"/>
    </row>
    <row r="3" spans="1:6" ht="18.75">
      <c r="A3" t="s">
        <v>85</v>
      </c>
      <c r="B3" s="1" t="s">
        <v>84</v>
      </c>
      <c r="C3" s="2"/>
      <c r="D3" s="2" t="s">
        <v>0</v>
      </c>
      <c r="E3" s="29">
        <v>2551.1</v>
      </c>
      <c r="F3" s="2"/>
    </row>
    <row r="4" spans="2:6" ht="15.75">
      <c r="B4" s="3" t="s">
        <v>1</v>
      </c>
      <c r="C4" s="30">
        <v>5</v>
      </c>
      <c r="D4" s="2" t="s">
        <v>2</v>
      </c>
      <c r="E4" s="30">
        <v>64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78</v>
      </c>
      <c r="F6" s="2"/>
      <c r="G6" s="2"/>
    </row>
    <row r="7" spans="1:8" ht="47.25">
      <c r="A7" s="24" t="s">
        <v>61</v>
      </c>
      <c r="B7" s="171"/>
      <c r="C7" s="171"/>
      <c r="D7" s="171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5"/>
      <c r="B8" s="193" t="s">
        <v>65</v>
      </c>
      <c r="C8" s="194"/>
      <c r="D8" s="194"/>
      <c r="E8" s="194"/>
      <c r="F8" s="195"/>
      <c r="G8" s="15"/>
      <c r="H8" s="16"/>
    </row>
    <row r="9" spans="1:8" ht="15.75">
      <c r="A9" s="25"/>
      <c r="B9" s="188" t="s">
        <v>66</v>
      </c>
      <c r="C9" s="188"/>
      <c r="D9" s="188"/>
      <c r="E9" s="188"/>
      <c r="F9" s="188"/>
      <c r="G9" s="15"/>
      <c r="H9" s="33">
        <v>18133.73</v>
      </c>
    </row>
    <row r="10" spans="1:8" ht="15.75">
      <c r="A10" s="25">
        <v>1</v>
      </c>
      <c r="B10" s="170" t="s">
        <v>63</v>
      </c>
      <c r="C10" s="170"/>
      <c r="D10" s="170"/>
      <c r="E10" s="170"/>
      <c r="F10" s="170"/>
      <c r="G10" s="15"/>
      <c r="H10" s="16">
        <v>266676.34</v>
      </c>
    </row>
    <row r="11" spans="1:8" ht="15.75">
      <c r="A11" s="25"/>
      <c r="B11" s="170" t="s">
        <v>67</v>
      </c>
      <c r="C11" s="170"/>
      <c r="D11" s="170"/>
      <c r="E11" s="170"/>
      <c r="F11" s="170"/>
      <c r="G11" s="15"/>
      <c r="H11" s="16">
        <f>H10*0.9</f>
        <v>240008.70600000003</v>
      </c>
    </row>
    <row r="12" spans="1:8" ht="15.75" customHeight="1">
      <c r="A12" s="25"/>
      <c r="B12" s="170" t="s">
        <v>68</v>
      </c>
      <c r="C12" s="170"/>
      <c r="D12" s="170"/>
      <c r="E12" s="170"/>
      <c r="F12" s="170"/>
      <c r="G12" s="15"/>
      <c r="H12" s="16">
        <f>H10-H11</f>
        <v>26667.63399999999</v>
      </c>
    </row>
    <row r="13" spans="1:8" ht="15.75" customHeight="1">
      <c r="A13" s="25">
        <v>2</v>
      </c>
      <c r="B13" s="170" t="s">
        <v>64</v>
      </c>
      <c r="C13" s="170"/>
      <c r="D13" s="170"/>
      <c r="E13" s="170"/>
      <c r="F13" s="170"/>
      <c r="G13" s="15"/>
      <c r="H13" s="16">
        <v>248807.59</v>
      </c>
    </row>
    <row r="14" spans="1:8" ht="15.75" customHeight="1">
      <c r="A14" s="25">
        <v>3</v>
      </c>
      <c r="B14" s="170" t="s">
        <v>69</v>
      </c>
      <c r="C14" s="170"/>
      <c r="D14" s="170"/>
      <c r="E14" s="170"/>
      <c r="F14" s="170"/>
      <c r="G14" s="15"/>
      <c r="H14" s="34">
        <f>H10-H13</f>
        <v>17868.75000000003</v>
      </c>
    </row>
    <row r="15" spans="1:8" ht="15.75" customHeight="1">
      <c r="A15" s="25">
        <v>4</v>
      </c>
      <c r="B15" s="188" t="s">
        <v>70</v>
      </c>
      <c r="C15" s="188"/>
      <c r="D15" s="188"/>
      <c r="E15" s="188"/>
      <c r="F15" s="188"/>
      <c r="G15" s="15"/>
      <c r="H15" s="33">
        <f>H9+H10-H13</f>
        <v>36002.48000000001</v>
      </c>
    </row>
    <row r="16" spans="1:8" ht="18.75">
      <c r="A16" s="25">
        <v>5</v>
      </c>
      <c r="B16" s="169" t="s">
        <v>74</v>
      </c>
      <c r="C16" s="169"/>
      <c r="D16" s="169"/>
      <c r="E16" s="169"/>
      <c r="F16" s="169"/>
      <c r="G16" s="17"/>
      <c r="H16" s="18"/>
    </row>
    <row r="17" spans="1:8" ht="15.75">
      <c r="A17" s="25" t="s">
        <v>40</v>
      </c>
      <c r="B17" s="19" t="s">
        <v>75</v>
      </c>
      <c r="C17" s="19"/>
      <c r="D17" s="19"/>
      <c r="E17" s="19"/>
      <c r="F17" s="5"/>
      <c r="G17" s="20"/>
      <c r="H17" s="20"/>
    </row>
    <row r="18" spans="1:8" ht="31.5">
      <c r="A18" s="31" t="s">
        <v>41</v>
      </c>
      <c r="B18" s="174" t="s">
        <v>18</v>
      </c>
      <c r="C18" s="174"/>
      <c r="D18" s="174"/>
      <c r="E18" s="6" t="s">
        <v>32</v>
      </c>
      <c r="F18" s="6" t="s">
        <v>24</v>
      </c>
      <c r="G18" s="12">
        <v>0.9</v>
      </c>
      <c r="H18" s="21">
        <f>ROUND(G18*$E$3*12,2)</f>
        <v>27551.88</v>
      </c>
    </row>
    <row r="19" spans="1:8" ht="15.75">
      <c r="A19" s="32" t="s">
        <v>42</v>
      </c>
      <c r="B19" s="174" t="s">
        <v>17</v>
      </c>
      <c r="C19" s="174"/>
      <c r="D19" s="174"/>
      <c r="E19" s="6" t="s">
        <v>32</v>
      </c>
      <c r="F19" s="6" t="s">
        <v>19</v>
      </c>
      <c r="G19" s="12">
        <v>0.26</v>
      </c>
      <c r="H19" s="21">
        <f aca="true" t="shared" si="0" ref="H19:H31">ROUND(G19*$E$3*12,2)</f>
        <v>7959.43</v>
      </c>
    </row>
    <row r="20" spans="1:8" ht="15.75">
      <c r="A20" s="31" t="s">
        <v>43</v>
      </c>
      <c r="B20" s="172" t="s">
        <v>23</v>
      </c>
      <c r="C20" s="172"/>
      <c r="D20" s="172"/>
      <c r="E20" s="7" t="s">
        <v>8</v>
      </c>
      <c r="F20" s="7" t="s">
        <v>20</v>
      </c>
      <c r="G20" s="12">
        <v>0.32</v>
      </c>
      <c r="H20" s="21">
        <f t="shared" si="0"/>
        <v>9796.22</v>
      </c>
    </row>
    <row r="21" spans="1:8" ht="33" customHeight="1">
      <c r="A21" s="32" t="s">
        <v>44</v>
      </c>
      <c r="B21" s="168" t="s">
        <v>31</v>
      </c>
      <c r="C21" s="168"/>
      <c r="D21" s="168"/>
      <c r="E21" s="8" t="s">
        <v>9</v>
      </c>
      <c r="F21" s="8" t="s">
        <v>10</v>
      </c>
      <c r="G21" s="12">
        <v>0.46</v>
      </c>
      <c r="H21" s="21">
        <f t="shared" si="0"/>
        <v>14082.07</v>
      </c>
    </row>
    <row r="22" spans="1:8" ht="63">
      <c r="A22" s="31" t="s">
        <v>47</v>
      </c>
      <c r="B22" s="172" t="s">
        <v>27</v>
      </c>
      <c r="C22" s="172"/>
      <c r="D22" s="172"/>
      <c r="E22" s="7" t="s">
        <v>34</v>
      </c>
      <c r="F22" s="7" t="s">
        <v>25</v>
      </c>
      <c r="G22" s="12">
        <v>0.11</v>
      </c>
      <c r="H22" s="21">
        <f t="shared" si="0"/>
        <v>3367.45</v>
      </c>
    </row>
    <row r="23" spans="1:8" ht="31.5">
      <c r="A23" s="32" t="s">
        <v>45</v>
      </c>
      <c r="B23" s="172" t="s">
        <v>11</v>
      </c>
      <c r="C23" s="172"/>
      <c r="D23" s="172"/>
      <c r="E23" s="7" t="s">
        <v>9</v>
      </c>
      <c r="F23" s="7" t="s">
        <v>12</v>
      </c>
      <c r="G23" s="12">
        <v>0</v>
      </c>
      <c r="H23" s="21">
        <f t="shared" si="0"/>
        <v>0</v>
      </c>
    </row>
    <row r="24" spans="1:8" ht="15.75">
      <c r="A24" s="31" t="s">
        <v>46</v>
      </c>
      <c r="B24" s="172" t="s">
        <v>26</v>
      </c>
      <c r="C24" s="189"/>
      <c r="D24" s="189"/>
      <c r="E24" s="9" t="s">
        <v>13</v>
      </c>
      <c r="F24" s="9" t="s">
        <v>14</v>
      </c>
      <c r="G24" s="12">
        <v>0.04</v>
      </c>
      <c r="H24" s="21">
        <f t="shared" si="0"/>
        <v>1224.53</v>
      </c>
    </row>
    <row r="25" spans="1:8" ht="36.75" customHeight="1">
      <c r="A25" s="32" t="s">
        <v>48</v>
      </c>
      <c r="B25" s="172" t="s">
        <v>81</v>
      </c>
      <c r="C25" s="172"/>
      <c r="D25" s="172"/>
      <c r="E25" s="9" t="s">
        <v>13</v>
      </c>
      <c r="F25" s="7" t="s">
        <v>77</v>
      </c>
      <c r="G25" s="12">
        <v>0.22</v>
      </c>
      <c r="H25" s="21">
        <f t="shared" si="0"/>
        <v>6734.9</v>
      </c>
    </row>
    <row r="26" spans="1:8" ht="31.5">
      <c r="A26" s="31" t="s">
        <v>49</v>
      </c>
      <c r="B26" s="172" t="s">
        <v>35</v>
      </c>
      <c r="C26" s="172"/>
      <c r="D26" s="172"/>
      <c r="E26" s="6" t="s">
        <v>36</v>
      </c>
      <c r="F26" s="7" t="s">
        <v>77</v>
      </c>
      <c r="G26" s="12">
        <v>2.5</v>
      </c>
      <c r="H26" s="21">
        <f t="shared" si="0"/>
        <v>76533</v>
      </c>
    </row>
    <row r="27" spans="1:8" ht="31.5">
      <c r="A27" s="32" t="s">
        <v>50</v>
      </c>
      <c r="B27" s="174" t="s">
        <v>15</v>
      </c>
      <c r="C27" s="174"/>
      <c r="D27" s="174"/>
      <c r="E27" s="6" t="s">
        <v>36</v>
      </c>
      <c r="F27" s="7" t="s">
        <v>77</v>
      </c>
      <c r="G27" s="12">
        <v>0.38</v>
      </c>
      <c r="H27" s="21">
        <f t="shared" si="0"/>
        <v>11633.02</v>
      </c>
    </row>
    <row r="28" spans="1:8" ht="31.5">
      <c r="A28" s="31" t="s">
        <v>51</v>
      </c>
      <c r="B28" s="175" t="s">
        <v>37</v>
      </c>
      <c r="C28" s="176"/>
      <c r="D28" s="176"/>
      <c r="E28" s="6" t="s">
        <v>36</v>
      </c>
      <c r="F28" s="7" t="s">
        <v>77</v>
      </c>
      <c r="G28" s="13">
        <v>1.57</v>
      </c>
      <c r="H28" s="21">
        <f t="shared" si="0"/>
        <v>48062.72</v>
      </c>
    </row>
    <row r="29" spans="1:8" ht="31.5">
      <c r="A29" s="32" t="s">
        <v>52</v>
      </c>
      <c r="B29" s="172" t="s">
        <v>28</v>
      </c>
      <c r="C29" s="172"/>
      <c r="D29" s="172"/>
      <c r="E29" s="6" t="s">
        <v>36</v>
      </c>
      <c r="F29" s="7" t="s">
        <v>77</v>
      </c>
      <c r="G29" s="13">
        <v>0.25</v>
      </c>
      <c r="H29" s="21">
        <f t="shared" si="0"/>
        <v>7653.3</v>
      </c>
    </row>
    <row r="30" spans="1:8" ht="31.5">
      <c r="A30" s="31" t="s">
        <v>53</v>
      </c>
      <c r="B30" s="172" t="s">
        <v>29</v>
      </c>
      <c r="C30" s="172"/>
      <c r="D30" s="172"/>
      <c r="E30" s="6" t="s">
        <v>36</v>
      </c>
      <c r="F30" s="7" t="s">
        <v>77</v>
      </c>
      <c r="G30" s="13">
        <v>0</v>
      </c>
      <c r="H30" s="21">
        <f t="shared" si="0"/>
        <v>0</v>
      </c>
    </row>
    <row r="31" spans="1:8" ht="31.5">
      <c r="A31" s="32" t="s">
        <v>54</v>
      </c>
      <c r="B31" s="189" t="s">
        <v>21</v>
      </c>
      <c r="C31" s="189"/>
      <c r="D31" s="189"/>
      <c r="E31" s="6" t="s">
        <v>36</v>
      </c>
      <c r="F31" s="7" t="s">
        <v>77</v>
      </c>
      <c r="G31" s="9">
        <v>0.88</v>
      </c>
      <c r="H31" s="21">
        <f t="shared" si="0"/>
        <v>26939.62</v>
      </c>
    </row>
    <row r="32" spans="1:8" ht="15.75">
      <c r="A32" s="25" t="s">
        <v>55</v>
      </c>
      <c r="B32" s="173" t="s">
        <v>30</v>
      </c>
      <c r="C32" s="173"/>
      <c r="D32" s="173"/>
      <c r="E32" s="14"/>
      <c r="F32" s="7"/>
      <c r="G32" s="22">
        <f>SUM(G18:G31)</f>
        <v>7.890000000000001</v>
      </c>
      <c r="H32" s="23">
        <f>SUM(H18:H31)</f>
        <v>241538.13999999996</v>
      </c>
    </row>
    <row r="33" spans="1:8" ht="15.75">
      <c r="A33" s="25" t="s">
        <v>56</v>
      </c>
      <c r="B33" s="188" t="s">
        <v>38</v>
      </c>
      <c r="C33" s="189"/>
      <c r="D33" s="189"/>
      <c r="E33" s="14"/>
      <c r="F33" s="7" t="s">
        <v>77</v>
      </c>
      <c r="G33" s="26">
        <f>H33/E3/12</f>
        <v>4.628722250532451</v>
      </c>
      <c r="H33" s="27">
        <v>141700</v>
      </c>
    </row>
    <row r="34" spans="1:8" ht="18.75">
      <c r="A34" s="28" t="s">
        <v>57</v>
      </c>
      <c r="B34" s="190" t="s">
        <v>76</v>
      </c>
      <c r="C34" s="190"/>
      <c r="D34" s="190"/>
      <c r="E34" s="190"/>
      <c r="F34" s="190"/>
      <c r="G34" s="22">
        <f>SUM(G32:G33)</f>
        <v>12.518722250532452</v>
      </c>
      <c r="H34" s="5">
        <f>SUM(H32:H33)</f>
        <v>383238.13999999996</v>
      </c>
    </row>
    <row r="35" spans="1:8" ht="18.75">
      <c r="A35" s="25" t="s">
        <v>62</v>
      </c>
      <c r="B35" s="185" t="s">
        <v>39</v>
      </c>
      <c r="C35" s="186"/>
      <c r="D35" s="186"/>
      <c r="E35" s="186"/>
      <c r="F35" s="186"/>
      <c r="G35" s="187"/>
      <c r="H35" s="35"/>
    </row>
    <row r="36" spans="1:8" ht="15.75" customHeight="1">
      <c r="A36" s="25" t="s">
        <v>58</v>
      </c>
      <c r="B36" s="182" t="s">
        <v>71</v>
      </c>
      <c r="C36" s="183"/>
      <c r="D36" s="183"/>
      <c r="E36" s="183"/>
      <c r="F36" s="183"/>
      <c r="G36" s="184"/>
      <c r="H36" s="36">
        <v>6569.17</v>
      </c>
    </row>
    <row r="37" spans="1:8" ht="15.75" customHeight="1">
      <c r="A37" s="25" t="s">
        <v>59</v>
      </c>
      <c r="B37" s="182" t="s">
        <v>72</v>
      </c>
      <c r="C37" s="183"/>
      <c r="D37" s="183"/>
      <c r="E37" s="183"/>
      <c r="F37" s="183"/>
      <c r="G37" s="184"/>
      <c r="H37" s="36">
        <f>H13-H34</f>
        <v>-134430.54999999996</v>
      </c>
    </row>
    <row r="38" spans="1:8" ht="15.75" customHeight="1">
      <c r="A38" s="25" t="s">
        <v>60</v>
      </c>
      <c r="B38" s="182" t="s">
        <v>73</v>
      </c>
      <c r="C38" s="183"/>
      <c r="D38" s="183"/>
      <c r="E38" s="183"/>
      <c r="F38" s="183"/>
      <c r="G38" s="184"/>
      <c r="H38" s="36">
        <f>H36+H37</f>
        <v>-127861.37999999996</v>
      </c>
    </row>
    <row r="39" spans="2:6" ht="19.5" customHeight="1">
      <c r="B39" s="37" t="s">
        <v>83</v>
      </c>
      <c r="F39" s="37" t="s">
        <v>80</v>
      </c>
    </row>
    <row r="40" spans="2:6" ht="15.75">
      <c r="B40" s="37" t="s">
        <v>79</v>
      </c>
      <c r="C40" s="37"/>
      <c r="D40" s="37"/>
      <c r="E40" s="37"/>
      <c r="F40" s="37"/>
    </row>
    <row r="41" ht="15.75">
      <c r="B41" t="s">
        <v>82</v>
      </c>
    </row>
  </sheetData>
  <mergeCells count="33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27:D27"/>
    <mergeCell ref="B28:D28"/>
    <mergeCell ref="B21:D21"/>
    <mergeCell ref="B22:D22"/>
    <mergeCell ref="B23:D23"/>
    <mergeCell ref="B24:D24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B26:D26"/>
    <mergeCell ref="B36:G36"/>
    <mergeCell ref="B37:G37"/>
    <mergeCell ref="B38:G38"/>
    <mergeCell ref="B35:G35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3">
      <selection activeCell="E29" sqref="E29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7.75390625" style="0" bestFit="1" customWidth="1"/>
    <col min="7" max="7" width="6.75390625" style="0" bestFit="1" customWidth="1"/>
    <col min="8" max="8" width="14.625" style="0" customWidth="1"/>
    <col min="9" max="9" width="14.375" style="0" customWidth="1"/>
    <col min="10" max="10" width="11.50390625" style="0" customWidth="1"/>
  </cols>
  <sheetData>
    <row r="1" spans="1:9" ht="102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</row>
    <row r="2" spans="1:9" ht="61.5" customHeight="1">
      <c r="A2" s="192" t="s">
        <v>174</v>
      </c>
      <c r="B2" s="192"/>
      <c r="C2" s="192"/>
      <c r="D2" s="192"/>
      <c r="E2" s="192"/>
      <c r="F2" s="192"/>
      <c r="G2" s="192"/>
      <c r="H2" s="192"/>
      <c r="I2" s="192"/>
    </row>
    <row r="3" spans="1:9" ht="18.75">
      <c r="A3" t="s">
        <v>144</v>
      </c>
      <c r="B3" s="1" t="s">
        <v>84</v>
      </c>
      <c r="C3" s="2"/>
      <c r="D3" s="2" t="s">
        <v>0</v>
      </c>
      <c r="E3" s="29">
        <v>2551.1</v>
      </c>
      <c r="F3" s="2"/>
      <c r="I3" s="119">
        <v>1366.3</v>
      </c>
    </row>
    <row r="4" spans="2:9" ht="15.75">
      <c r="B4" s="3" t="s">
        <v>1</v>
      </c>
      <c r="C4" s="30">
        <v>5</v>
      </c>
      <c r="D4" s="2" t="s">
        <v>2</v>
      </c>
      <c r="E4" s="30">
        <v>64</v>
      </c>
      <c r="F4" s="2"/>
      <c r="I4" t="s">
        <v>97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175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176</v>
      </c>
    </row>
    <row r="7" spans="1:10" ht="42.75">
      <c r="A7" s="24" t="s">
        <v>61</v>
      </c>
      <c r="B7" s="212" t="s">
        <v>145</v>
      </c>
      <c r="C7" s="213"/>
      <c r="D7" s="214"/>
      <c r="E7" s="11" t="s">
        <v>6</v>
      </c>
      <c r="F7" s="11" t="s">
        <v>7</v>
      </c>
      <c r="G7" s="76" t="s">
        <v>22</v>
      </c>
      <c r="H7" s="215" t="s">
        <v>146</v>
      </c>
      <c r="I7" s="216"/>
      <c r="J7" s="217"/>
    </row>
    <row r="8" spans="1:10" ht="15.75" customHeight="1">
      <c r="A8" s="25">
        <v>1</v>
      </c>
      <c r="B8" s="193"/>
      <c r="C8" s="194"/>
      <c r="D8" s="194"/>
      <c r="E8" s="194"/>
      <c r="F8" s="195"/>
      <c r="G8" s="77"/>
      <c r="H8" s="78" t="s">
        <v>147</v>
      </c>
      <c r="I8" s="79" t="s">
        <v>148</v>
      </c>
      <c r="J8" s="79" t="s">
        <v>149</v>
      </c>
    </row>
    <row r="9" spans="1:10" ht="15.75" customHeight="1">
      <c r="A9" s="25"/>
      <c r="B9" s="193" t="s">
        <v>150</v>
      </c>
      <c r="C9" s="194"/>
      <c r="D9" s="194"/>
      <c r="E9" s="194"/>
      <c r="F9" s="195"/>
      <c r="G9" s="78"/>
      <c r="H9" s="78"/>
      <c r="I9" s="44"/>
      <c r="J9" s="79"/>
    </row>
    <row r="10" spans="1:10" ht="29.25" customHeight="1">
      <c r="A10" s="80"/>
      <c r="B10" s="170" t="s">
        <v>151</v>
      </c>
      <c r="C10" s="170"/>
      <c r="D10" s="170"/>
      <c r="E10" s="170"/>
      <c r="F10" s="170"/>
      <c r="G10" s="15"/>
      <c r="H10" s="34">
        <v>253456.82</v>
      </c>
      <c r="I10" s="66"/>
      <c r="J10" s="81">
        <f>H10+I10</f>
        <v>253456.82</v>
      </c>
    </row>
    <row r="11" spans="1:10" ht="15.75">
      <c r="A11" s="80"/>
      <c r="B11" s="170" t="s">
        <v>152</v>
      </c>
      <c r="C11" s="170"/>
      <c r="D11" s="170"/>
      <c r="E11" s="170"/>
      <c r="F11" s="170"/>
      <c r="G11" s="15"/>
      <c r="H11" s="16">
        <v>16409.83</v>
      </c>
      <c r="I11" s="66"/>
      <c r="J11" s="81">
        <f>H11+I11</f>
        <v>16409.83</v>
      </c>
    </row>
    <row r="12" spans="1:10" ht="15.75" customHeight="1">
      <c r="A12" s="25"/>
      <c r="B12" s="170" t="s">
        <v>153</v>
      </c>
      <c r="C12" s="170"/>
      <c r="D12" s="170"/>
      <c r="E12" s="170"/>
      <c r="F12" s="170"/>
      <c r="G12" s="15"/>
      <c r="H12" s="34"/>
      <c r="I12" s="82">
        <v>149187.49</v>
      </c>
      <c r="J12" s="81">
        <f>H12+I12</f>
        <v>149187.49</v>
      </c>
    </row>
    <row r="13" spans="1:10" ht="15.75" customHeight="1">
      <c r="A13" s="25"/>
      <c r="B13" s="170" t="s">
        <v>154</v>
      </c>
      <c r="C13" s="170"/>
      <c r="D13" s="170"/>
      <c r="E13" s="170"/>
      <c r="F13" s="170"/>
      <c r="G13" s="15"/>
      <c r="H13" s="34"/>
      <c r="I13" s="82">
        <v>0</v>
      </c>
      <c r="J13" s="81">
        <f>H13+I13</f>
        <v>0</v>
      </c>
    </row>
    <row r="14" spans="1:10" ht="15.75" customHeight="1">
      <c r="A14" s="25"/>
      <c r="B14" s="188" t="s">
        <v>155</v>
      </c>
      <c r="C14" s="188"/>
      <c r="D14" s="188"/>
      <c r="E14" s="188"/>
      <c r="F14" s="188"/>
      <c r="G14" s="15"/>
      <c r="H14" s="83">
        <f>SUM(H10:H12)</f>
        <v>269866.65</v>
      </c>
      <c r="I14" s="84">
        <f>SUM(I10:I12)</f>
        <v>149187.49</v>
      </c>
      <c r="J14" s="83">
        <f>SUM(J10:J13)</f>
        <v>419054.14</v>
      </c>
    </row>
    <row r="15" spans="1:10" ht="15.75" customHeight="1">
      <c r="A15" s="25">
        <v>2</v>
      </c>
      <c r="B15" s="169" t="s">
        <v>74</v>
      </c>
      <c r="C15" s="169"/>
      <c r="D15" s="169"/>
      <c r="E15" s="169"/>
      <c r="F15" s="169"/>
      <c r="G15" s="15"/>
      <c r="H15" s="34"/>
      <c r="I15" s="66"/>
      <c r="J15" s="48"/>
    </row>
    <row r="16" spans="1:10" ht="18.75" customHeight="1">
      <c r="A16" s="25" t="s">
        <v>141</v>
      </c>
      <c r="B16" s="19" t="s">
        <v>75</v>
      </c>
      <c r="C16" s="19"/>
      <c r="D16" s="19"/>
      <c r="E16" s="19"/>
      <c r="F16" s="5"/>
      <c r="G16" s="85"/>
      <c r="H16" s="85"/>
      <c r="I16" s="75"/>
      <c r="J16" s="79"/>
    </row>
    <row r="17" spans="1:10" ht="31.5">
      <c r="A17" s="86"/>
      <c r="B17" s="211" t="s">
        <v>156</v>
      </c>
      <c r="C17" s="211"/>
      <c r="D17" s="211"/>
      <c r="E17" s="87" t="s">
        <v>32</v>
      </c>
      <c r="F17" s="69" t="s">
        <v>24</v>
      </c>
      <c r="G17" s="70">
        <v>0.92</v>
      </c>
      <c r="H17" s="88">
        <f>ROUND(G17*$E$3*12,2)</f>
        <v>28164.14</v>
      </c>
      <c r="I17" s="89">
        <f>$I$12*0</f>
        <v>0</v>
      </c>
      <c r="J17" s="90">
        <f>SUM(H17:I17)</f>
        <v>28164.14</v>
      </c>
    </row>
    <row r="18" spans="1:10" ht="15.75" customHeight="1">
      <c r="A18" s="25"/>
      <c r="B18" s="209" t="s">
        <v>17</v>
      </c>
      <c r="C18" s="209"/>
      <c r="D18" s="209"/>
      <c r="E18" s="87" t="s">
        <v>32</v>
      </c>
      <c r="F18" s="69" t="s">
        <v>19</v>
      </c>
      <c r="G18" s="70">
        <v>0.26</v>
      </c>
      <c r="H18" s="88">
        <f>ROUND(G18*$E$3*12,2)</f>
        <v>7959.43</v>
      </c>
      <c r="I18" s="89">
        <f>$I$12*0</f>
        <v>0</v>
      </c>
      <c r="J18" s="90">
        <f aca="true" t="shared" si="0" ref="J18:J37">SUM(H18:I18)</f>
        <v>7959.43</v>
      </c>
    </row>
    <row r="19" spans="1:10" ht="15.75" customHeight="1">
      <c r="A19" s="25"/>
      <c r="B19" s="210" t="s">
        <v>23</v>
      </c>
      <c r="C19" s="210"/>
      <c r="D19" s="210"/>
      <c r="E19" s="91" t="s">
        <v>157</v>
      </c>
      <c r="F19" s="71" t="s">
        <v>20</v>
      </c>
      <c r="G19" s="70">
        <v>0.35</v>
      </c>
      <c r="H19" s="88">
        <f>J19-I19</f>
        <v>9141.16</v>
      </c>
      <c r="I19" s="89">
        <f>$I$12*0</f>
        <v>0</v>
      </c>
      <c r="J19" s="92">
        <v>9141.16</v>
      </c>
    </row>
    <row r="20" spans="1:10" ht="33" customHeight="1">
      <c r="A20" s="86"/>
      <c r="B20" s="211" t="s">
        <v>31</v>
      </c>
      <c r="C20" s="211"/>
      <c r="D20" s="211"/>
      <c r="E20" s="93" t="s">
        <v>9</v>
      </c>
      <c r="F20" s="72" t="s">
        <v>10</v>
      </c>
      <c r="G20" s="70">
        <v>0.46</v>
      </c>
      <c r="H20" s="88">
        <f>ROUND(G20*$E$3*12,2)</f>
        <v>14082.07</v>
      </c>
      <c r="I20" s="89">
        <f>$I$12*0.04</f>
        <v>5967.4996</v>
      </c>
      <c r="J20" s="90">
        <f t="shared" si="0"/>
        <v>20049.5696</v>
      </c>
    </row>
    <row r="21" spans="1:10" ht="38.25">
      <c r="A21" s="25"/>
      <c r="B21" s="210" t="s">
        <v>27</v>
      </c>
      <c r="C21" s="210"/>
      <c r="D21" s="210"/>
      <c r="E21" s="91" t="s">
        <v>158</v>
      </c>
      <c r="F21" s="71" t="s">
        <v>25</v>
      </c>
      <c r="G21" s="70">
        <v>0.11</v>
      </c>
      <c r="H21" s="88">
        <f>J21-I21</f>
        <v>1039.0750999999998</v>
      </c>
      <c r="I21" s="89">
        <f>$I$12*0.01</f>
        <v>1491.8749</v>
      </c>
      <c r="J21" s="92">
        <v>2530.95</v>
      </c>
    </row>
    <row r="22" spans="1:10" ht="31.5">
      <c r="A22" s="86"/>
      <c r="B22" s="210" t="s">
        <v>11</v>
      </c>
      <c r="C22" s="210"/>
      <c r="D22" s="210"/>
      <c r="E22" s="91" t="s">
        <v>9</v>
      </c>
      <c r="F22" s="71" t="s">
        <v>12</v>
      </c>
      <c r="G22" s="70">
        <v>0</v>
      </c>
      <c r="H22" s="88">
        <f>J22-I22</f>
        <v>0</v>
      </c>
      <c r="I22" s="89">
        <f>$I$12*0</f>
        <v>0</v>
      </c>
      <c r="J22" s="92">
        <f>G22*E3*12</f>
        <v>0</v>
      </c>
    </row>
    <row r="23" spans="1:10" ht="15.75" customHeight="1">
      <c r="A23" s="86"/>
      <c r="B23" s="210" t="s">
        <v>26</v>
      </c>
      <c r="C23" s="205"/>
      <c r="D23" s="205"/>
      <c r="E23" s="94" t="s">
        <v>13</v>
      </c>
      <c r="F23" s="68" t="s">
        <v>14</v>
      </c>
      <c r="G23" s="70">
        <v>0.04</v>
      </c>
      <c r="H23" s="88">
        <f>J23-I23</f>
        <v>0</v>
      </c>
      <c r="I23" s="89">
        <f>$I$12*0</f>
        <v>0</v>
      </c>
      <c r="J23" s="92">
        <v>0</v>
      </c>
    </row>
    <row r="24" spans="1:10" ht="36.75" customHeight="1">
      <c r="A24" s="25"/>
      <c r="B24" s="210" t="s">
        <v>159</v>
      </c>
      <c r="C24" s="210"/>
      <c r="D24" s="210"/>
      <c r="E24" s="87" t="s">
        <v>36</v>
      </c>
      <c r="F24" s="95" t="s">
        <v>160</v>
      </c>
      <c r="G24" s="70">
        <v>1.87</v>
      </c>
      <c r="H24" s="88">
        <f aca="true" t="shared" si="1" ref="H24:H29">ROUND(G24*$E$3*12,2)</f>
        <v>57246.68</v>
      </c>
      <c r="I24" s="89">
        <f>$I$12*0</f>
        <v>0</v>
      </c>
      <c r="J24" s="90">
        <f t="shared" si="0"/>
        <v>57246.68</v>
      </c>
    </row>
    <row r="25" spans="1:10" ht="25.5">
      <c r="A25" s="25"/>
      <c r="B25" s="209" t="s">
        <v>15</v>
      </c>
      <c r="C25" s="209"/>
      <c r="D25" s="209"/>
      <c r="E25" s="87" t="s">
        <v>36</v>
      </c>
      <c r="F25" s="95" t="s">
        <v>160</v>
      </c>
      <c r="G25" s="70">
        <v>0.38</v>
      </c>
      <c r="H25" s="96">
        <f t="shared" si="1"/>
        <v>11633.02</v>
      </c>
      <c r="I25" s="89">
        <v>0</v>
      </c>
      <c r="J25" s="90">
        <f t="shared" si="0"/>
        <v>11633.02</v>
      </c>
    </row>
    <row r="26" spans="1:10" ht="33" customHeight="1">
      <c r="A26" s="25"/>
      <c r="B26" s="182" t="s">
        <v>37</v>
      </c>
      <c r="C26" s="207"/>
      <c r="D26" s="208"/>
      <c r="E26" s="87" t="s">
        <v>36</v>
      </c>
      <c r="F26" s="95" t="s">
        <v>160</v>
      </c>
      <c r="G26" s="97">
        <f>2.97-G27-G28</f>
        <v>2.97</v>
      </c>
      <c r="H26" s="96">
        <f t="shared" si="1"/>
        <v>90921.2</v>
      </c>
      <c r="I26" s="98">
        <f>$I$12*0.22</f>
        <v>32821.2478</v>
      </c>
      <c r="J26" s="90">
        <f t="shared" si="0"/>
        <v>123742.4478</v>
      </c>
    </row>
    <row r="27" spans="1:10" ht="31.5" customHeight="1">
      <c r="A27" s="86"/>
      <c r="B27" s="210" t="s">
        <v>161</v>
      </c>
      <c r="C27" s="210"/>
      <c r="D27" s="210"/>
      <c r="E27" s="87" t="s">
        <v>36</v>
      </c>
      <c r="F27" s="95" t="s">
        <v>160</v>
      </c>
      <c r="G27" s="97">
        <v>0</v>
      </c>
      <c r="H27" s="96">
        <f t="shared" si="1"/>
        <v>0</v>
      </c>
      <c r="I27" s="98">
        <f>$I$12*0</f>
        <v>0</v>
      </c>
      <c r="J27" s="90">
        <f t="shared" si="0"/>
        <v>0</v>
      </c>
    </row>
    <row r="28" spans="1:10" ht="15.75">
      <c r="A28" s="25"/>
      <c r="B28" s="210" t="s">
        <v>162</v>
      </c>
      <c r="C28" s="210"/>
      <c r="D28" s="210"/>
      <c r="E28" s="91" t="s">
        <v>9</v>
      </c>
      <c r="F28" s="95" t="s">
        <v>160</v>
      </c>
      <c r="G28" s="97">
        <v>0</v>
      </c>
      <c r="H28" s="96">
        <f t="shared" si="1"/>
        <v>0</v>
      </c>
      <c r="I28" s="98">
        <f>$I$12*0</f>
        <v>0</v>
      </c>
      <c r="J28" s="90">
        <f t="shared" si="0"/>
        <v>0</v>
      </c>
    </row>
    <row r="29" spans="1:10" ht="25.5">
      <c r="A29" s="25"/>
      <c r="B29" s="205" t="s">
        <v>21</v>
      </c>
      <c r="C29" s="205"/>
      <c r="D29" s="205"/>
      <c r="E29" s="91" t="s">
        <v>36</v>
      </c>
      <c r="F29" s="95" t="s">
        <v>160</v>
      </c>
      <c r="G29" s="68">
        <v>0.92</v>
      </c>
      <c r="H29" s="88">
        <f t="shared" si="1"/>
        <v>28164.14</v>
      </c>
      <c r="I29" s="89">
        <f>$I$12*0.1</f>
        <v>14918.749</v>
      </c>
      <c r="J29" s="90">
        <f t="shared" si="0"/>
        <v>43082.888999999996</v>
      </c>
    </row>
    <row r="30" spans="1:10" ht="15.75">
      <c r="A30" s="25"/>
      <c r="B30" s="206" t="s">
        <v>163</v>
      </c>
      <c r="C30" s="207"/>
      <c r="D30" s="208"/>
      <c r="E30" s="91" t="s">
        <v>9</v>
      </c>
      <c r="F30" s="95"/>
      <c r="G30" s="68"/>
      <c r="H30" s="96"/>
      <c r="I30" s="82"/>
      <c r="J30" s="99"/>
    </row>
    <row r="31" spans="1:10" ht="25.5">
      <c r="A31" s="25"/>
      <c r="B31" s="206" t="s">
        <v>164</v>
      </c>
      <c r="C31" s="207"/>
      <c r="D31" s="208"/>
      <c r="E31" s="87" t="s">
        <v>36</v>
      </c>
      <c r="F31" s="95"/>
      <c r="G31" s="68"/>
      <c r="H31" s="96"/>
      <c r="I31" s="82"/>
      <c r="J31" s="99"/>
    </row>
    <row r="32" spans="1:10" ht="15.75" customHeight="1">
      <c r="A32" s="25"/>
      <c r="B32" s="199"/>
      <c r="C32" s="200"/>
      <c r="D32" s="201"/>
      <c r="E32" s="91"/>
      <c r="F32" s="95"/>
      <c r="G32" s="68"/>
      <c r="H32" s="96"/>
      <c r="I32" s="82"/>
      <c r="J32" s="99"/>
    </row>
    <row r="33" spans="1:10" ht="15.75">
      <c r="A33" s="25"/>
      <c r="B33" s="199"/>
      <c r="C33" s="200"/>
      <c r="D33" s="201"/>
      <c r="E33" s="91"/>
      <c r="F33" s="95"/>
      <c r="G33" s="68"/>
      <c r="H33" s="96"/>
      <c r="I33" s="82"/>
      <c r="J33" s="99"/>
    </row>
    <row r="34" spans="1:10" ht="15.75">
      <c r="A34" s="25"/>
      <c r="B34" s="173" t="s">
        <v>30</v>
      </c>
      <c r="C34" s="173"/>
      <c r="D34" s="173"/>
      <c r="E34" s="14"/>
      <c r="F34" s="95"/>
      <c r="G34" s="22">
        <f>SUM(G17:G29)</f>
        <v>8.28</v>
      </c>
      <c r="H34" s="100">
        <f>SUM(H17:H33)</f>
        <v>248350.91509999998</v>
      </c>
      <c r="I34" s="101">
        <f>SUM(I17:I33)</f>
        <v>55199.3713</v>
      </c>
      <c r="J34" s="100">
        <f>SUM(J17:J33)</f>
        <v>303550.2864</v>
      </c>
    </row>
    <row r="35" spans="1:10" ht="15.75" customHeight="1">
      <c r="A35" s="25" t="s">
        <v>165</v>
      </c>
      <c r="B35" s="202" t="s">
        <v>166</v>
      </c>
      <c r="C35" s="203"/>
      <c r="D35" s="203"/>
      <c r="E35" s="204"/>
      <c r="F35" s="95" t="s">
        <v>160</v>
      </c>
      <c r="G35" s="26">
        <f>H35/E3/12</f>
        <v>2.63383115780121</v>
      </c>
      <c r="H35" s="102">
        <v>80630</v>
      </c>
      <c r="I35" s="103">
        <v>0</v>
      </c>
      <c r="J35" s="83">
        <f t="shared" si="0"/>
        <v>80630</v>
      </c>
    </row>
    <row r="36" spans="1:10" ht="15.75" customHeight="1">
      <c r="A36" s="28"/>
      <c r="B36" s="197" t="s">
        <v>76</v>
      </c>
      <c r="C36" s="197"/>
      <c r="D36" s="197"/>
      <c r="E36" s="197"/>
      <c r="F36" s="197"/>
      <c r="G36" s="22">
        <f>SUM(G34:G35)</f>
        <v>10.913831157801209</v>
      </c>
      <c r="H36" s="104">
        <f>SUM(H34:H35)</f>
        <v>328980.9151</v>
      </c>
      <c r="I36" s="105">
        <f>SUM(I34:I35)</f>
        <v>55199.3713</v>
      </c>
      <c r="J36" s="104">
        <f>SUM(J34:J35)</f>
        <v>384180.2864</v>
      </c>
    </row>
    <row r="37" spans="1:10" ht="15.75" customHeight="1">
      <c r="A37" s="25" t="s">
        <v>143</v>
      </c>
      <c r="B37" s="196" t="s">
        <v>167</v>
      </c>
      <c r="C37" s="196"/>
      <c r="D37" s="196"/>
      <c r="E37" s="196"/>
      <c r="F37" s="196"/>
      <c r="G37" s="26"/>
      <c r="H37" s="106">
        <v>0</v>
      </c>
      <c r="I37" s="106">
        <v>0</v>
      </c>
      <c r="J37" s="107">
        <f t="shared" si="0"/>
        <v>0</v>
      </c>
    </row>
    <row r="38" spans="1:10" ht="19.5" customHeight="1">
      <c r="A38" s="28"/>
      <c r="B38" s="197" t="s">
        <v>168</v>
      </c>
      <c r="C38" s="197"/>
      <c r="D38" s="197"/>
      <c r="E38" s="197"/>
      <c r="F38" s="197"/>
      <c r="G38" s="22">
        <f>SUM(G36:G37)</f>
        <v>10.913831157801209</v>
      </c>
      <c r="H38" s="104">
        <f>SUM(H36:H37)</f>
        <v>328980.9151</v>
      </c>
      <c r="I38" s="105">
        <f>SUM(I36:I37)</f>
        <v>55199.3713</v>
      </c>
      <c r="J38" s="104">
        <f>SUM(J36:J37)</f>
        <v>384180.2864</v>
      </c>
    </row>
    <row r="39" spans="1:10" ht="15.75">
      <c r="A39" s="25">
        <v>3</v>
      </c>
      <c r="B39" s="182" t="s">
        <v>169</v>
      </c>
      <c r="C39" s="183"/>
      <c r="D39" s="183"/>
      <c r="E39" s="183"/>
      <c r="F39" s="183"/>
      <c r="G39" s="184"/>
      <c r="H39" s="88">
        <f>H14-H38</f>
        <v>-59114.26509999996</v>
      </c>
      <c r="I39" s="88">
        <f>I14-I38</f>
        <v>93988.11869999999</v>
      </c>
      <c r="J39" s="108">
        <f>J14-J38</f>
        <v>34873.85360000003</v>
      </c>
    </row>
    <row r="40" spans="2:6" ht="15.75">
      <c r="B40" s="37"/>
      <c r="F40" s="37"/>
    </row>
    <row r="41" spans="2:9" ht="15.75">
      <c r="B41" s="61" t="s">
        <v>170</v>
      </c>
      <c r="C41" s="61"/>
      <c r="D41" s="61"/>
      <c r="E41" s="37"/>
      <c r="F41" s="37"/>
      <c r="H41" s="198" t="s">
        <v>171</v>
      </c>
      <c r="I41" s="198"/>
    </row>
    <row r="42" spans="2:4" ht="15.75">
      <c r="B42" s="61"/>
      <c r="C42" s="61"/>
      <c r="D42" s="61"/>
    </row>
    <row r="43" spans="2:4" ht="15.75">
      <c r="B43" s="109" t="s">
        <v>172</v>
      </c>
      <c r="C43" s="109"/>
      <c r="D43" s="62"/>
    </row>
    <row r="44" spans="2:4" ht="15.75">
      <c r="B44" s="181" t="s">
        <v>173</v>
      </c>
      <c r="C44" s="181"/>
      <c r="D44" s="181"/>
    </row>
  </sheetData>
  <mergeCells count="37">
    <mergeCell ref="B7:D7"/>
    <mergeCell ref="H7:J7"/>
    <mergeCell ref="A2:I2"/>
    <mergeCell ref="A1:I1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H41:I41"/>
    <mergeCell ref="B33:D33"/>
    <mergeCell ref="B34:D34"/>
    <mergeCell ref="B35:E35"/>
    <mergeCell ref="B36:F36"/>
    <mergeCell ref="B44:D44"/>
    <mergeCell ref="B37:F37"/>
    <mergeCell ref="B38:F38"/>
    <mergeCell ref="B39:G3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J4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7.75390625" style="0" hidden="1" customWidth="1"/>
    <col min="7" max="7" width="6.75390625" style="0" hidden="1" customWidth="1"/>
    <col min="8" max="8" width="14.625" style="0" customWidth="1"/>
    <col min="9" max="9" width="14.375" style="0" customWidth="1"/>
    <col min="10" max="10" width="11.50390625" style="0" customWidth="1"/>
  </cols>
  <sheetData>
    <row r="1" spans="1:10" ht="102" customHeight="1">
      <c r="A1" s="191" t="s">
        <v>216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1.5" customHeight="1">
      <c r="A2" s="218" t="s">
        <v>227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9" ht="18.75">
      <c r="A3" t="s">
        <v>144</v>
      </c>
      <c r="B3" s="1" t="s">
        <v>84</v>
      </c>
      <c r="C3" s="2"/>
      <c r="D3" s="2" t="s">
        <v>0</v>
      </c>
      <c r="E3" s="29">
        <v>2551.1</v>
      </c>
      <c r="F3" s="2"/>
      <c r="I3" s="119">
        <v>1366.3</v>
      </c>
    </row>
    <row r="4" spans="2:9" ht="15.75">
      <c r="B4" s="3" t="s">
        <v>1</v>
      </c>
      <c r="C4" s="30">
        <v>5</v>
      </c>
      <c r="D4" s="2" t="s">
        <v>2</v>
      </c>
      <c r="E4" s="30">
        <v>64</v>
      </c>
      <c r="F4" s="2"/>
      <c r="I4" t="s">
        <v>97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175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176</v>
      </c>
    </row>
    <row r="7" spans="1:10" ht="42.75">
      <c r="A7" s="24" t="s">
        <v>61</v>
      </c>
      <c r="B7" s="212" t="s">
        <v>145</v>
      </c>
      <c r="C7" s="213"/>
      <c r="D7" s="214"/>
      <c r="E7" s="11" t="s">
        <v>6</v>
      </c>
      <c r="F7" s="11" t="s">
        <v>7</v>
      </c>
      <c r="G7" s="76" t="s">
        <v>22</v>
      </c>
      <c r="H7" s="215" t="s">
        <v>146</v>
      </c>
      <c r="I7" s="216"/>
      <c r="J7" s="217"/>
    </row>
    <row r="8" spans="1:10" ht="15.75" customHeight="1">
      <c r="A8" s="25">
        <v>1</v>
      </c>
      <c r="B8" s="193"/>
      <c r="C8" s="194"/>
      <c r="D8" s="194"/>
      <c r="E8" s="194"/>
      <c r="F8" s="195"/>
      <c r="G8" s="77"/>
      <c r="H8" s="78" t="s">
        <v>147</v>
      </c>
      <c r="I8" s="79" t="s">
        <v>148</v>
      </c>
      <c r="J8" s="79" t="s">
        <v>149</v>
      </c>
    </row>
    <row r="9" spans="1:10" ht="15.75" customHeight="1">
      <c r="A9" s="25"/>
      <c r="B9" s="193" t="s">
        <v>150</v>
      </c>
      <c r="C9" s="194"/>
      <c r="D9" s="194"/>
      <c r="E9" s="194"/>
      <c r="F9" s="195"/>
      <c r="G9" s="78"/>
      <c r="H9" s="78"/>
      <c r="I9" s="44"/>
      <c r="J9" s="79"/>
    </row>
    <row r="10" spans="1:10" ht="29.25" customHeight="1">
      <c r="A10" s="80"/>
      <c r="B10" s="170" t="s">
        <v>151</v>
      </c>
      <c r="C10" s="170"/>
      <c r="D10" s="170"/>
      <c r="E10" s="170"/>
      <c r="F10" s="170"/>
      <c r="G10" s="15"/>
      <c r="H10" s="34">
        <v>327771.51</v>
      </c>
      <c r="I10" s="66"/>
      <c r="J10" s="81">
        <f>H10+I10</f>
        <v>327771.51</v>
      </c>
    </row>
    <row r="11" spans="1:10" ht="15.75">
      <c r="A11" s="80"/>
      <c r="B11" s="170" t="s">
        <v>152</v>
      </c>
      <c r="C11" s="170"/>
      <c r="D11" s="170"/>
      <c r="E11" s="170"/>
      <c r="F11" s="170"/>
      <c r="G11" s="15"/>
      <c r="H11" s="16">
        <v>20624.31</v>
      </c>
      <c r="I11" s="66"/>
      <c r="J11" s="81">
        <f>H11+I11</f>
        <v>20624.31</v>
      </c>
    </row>
    <row r="12" spans="1:10" ht="15.75" customHeight="1">
      <c r="A12" s="25"/>
      <c r="B12" s="170" t="s">
        <v>153</v>
      </c>
      <c r="C12" s="170"/>
      <c r="D12" s="170"/>
      <c r="E12" s="170"/>
      <c r="F12" s="170"/>
      <c r="G12" s="15"/>
      <c r="H12" s="34"/>
      <c r="I12" s="82">
        <v>84363.36</v>
      </c>
      <c r="J12" s="81">
        <f>H12+I12</f>
        <v>84363.36</v>
      </c>
    </row>
    <row r="13" spans="1:10" ht="15.75" customHeight="1">
      <c r="A13" s="25"/>
      <c r="B13" s="170" t="s">
        <v>154</v>
      </c>
      <c r="C13" s="170"/>
      <c r="D13" s="170"/>
      <c r="E13" s="170"/>
      <c r="F13" s="170"/>
      <c r="G13" s="15"/>
      <c r="H13" s="34"/>
      <c r="I13" s="82">
        <v>0</v>
      </c>
      <c r="J13" s="81">
        <f>H13+I13</f>
        <v>0</v>
      </c>
    </row>
    <row r="14" spans="1:10" ht="15.75" customHeight="1">
      <c r="A14" s="25"/>
      <c r="B14" s="188" t="s">
        <v>155</v>
      </c>
      <c r="C14" s="188"/>
      <c r="D14" s="188"/>
      <c r="E14" s="188"/>
      <c r="F14" s="188"/>
      <c r="G14" s="15"/>
      <c r="H14" s="83">
        <f>SUM(H10:H12)</f>
        <v>348395.82</v>
      </c>
      <c r="I14" s="84">
        <f>SUM(I10:I12)</f>
        <v>84363.36</v>
      </c>
      <c r="J14" s="83">
        <f>SUM(J10:J13)</f>
        <v>432759.18</v>
      </c>
    </row>
    <row r="15" spans="1:10" ht="15.75" customHeight="1">
      <c r="A15" s="25">
        <v>2</v>
      </c>
      <c r="B15" s="169" t="s">
        <v>74</v>
      </c>
      <c r="C15" s="169"/>
      <c r="D15" s="169"/>
      <c r="E15" s="169"/>
      <c r="F15" s="169"/>
      <c r="G15" s="15"/>
      <c r="H15" s="34"/>
      <c r="I15" s="66"/>
      <c r="J15" s="48"/>
    </row>
    <row r="16" spans="1:10" ht="18.75" customHeight="1">
      <c r="A16" s="25" t="s">
        <v>141</v>
      </c>
      <c r="B16" s="19" t="s">
        <v>75</v>
      </c>
      <c r="C16" s="19"/>
      <c r="D16" s="19"/>
      <c r="E16" s="19"/>
      <c r="F16" s="5"/>
      <c r="G16" s="85"/>
      <c r="H16" s="85"/>
      <c r="I16" s="75"/>
      <c r="J16" s="79"/>
    </row>
    <row r="17" spans="1:10" ht="31.5">
      <c r="A17" s="86"/>
      <c r="B17" s="211" t="s">
        <v>156</v>
      </c>
      <c r="C17" s="211"/>
      <c r="D17" s="211"/>
      <c r="E17" s="87" t="s">
        <v>32</v>
      </c>
      <c r="F17" s="69" t="s">
        <v>24</v>
      </c>
      <c r="G17" s="70">
        <v>1.06</v>
      </c>
      <c r="H17" s="88">
        <f>ROUND(G17*$E$3*12,2)</f>
        <v>32449.99</v>
      </c>
      <c r="I17" s="89">
        <f>$I$12*0</f>
        <v>0</v>
      </c>
      <c r="J17" s="90">
        <f>SUM(H17:I17)</f>
        <v>32449.99</v>
      </c>
    </row>
    <row r="18" spans="1:10" ht="15.75" customHeight="1">
      <c r="A18" s="25"/>
      <c r="B18" s="209" t="s">
        <v>17</v>
      </c>
      <c r="C18" s="209"/>
      <c r="D18" s="209"/>
      <c r="E18" s="87" t="s">
        <v>32</v>
      </c>
      <c r="F18" s="69" t="s">
        <v>19</v>
      </c>
      <c r="G18" s="70">
        <v>0.28</v>
      </c>
      <c r="H18" s="88">
        <f>ROUND(G18*$E$3*12,2)</f>
        <v>8571.7</v>
      </c>
      <c r="I18" s="89">
        <f>$I$12*0</f>
        <v>0</v>
      </c>
      <c r="J18" s="90">
        <f aca="true" t="shared" si="0" ref="J18:J38">SUM(H18:I18)</f>
        <v>8571.7</v>
      </c>
    </row>
    <row r="19" spans="1:10" ht="15.75" customHeight="1">
      <c r="A19" s="25"/>
      <c r="B19" s="210" t="s">
        <v>23</v>
      </c>
      <c r="C19" s="210"/>
      <c r="D19" s="210"/>
      <c r="E19" s="91" t="s">
        <v>157</v>
      </c>
      <c r="F19" s="71" t="s">
        <v>20</v>
      </c>
      <c r="G19" s="70">
        <v>0.39</v>
      </c>
      <c r="H19" s="88">
        <f>J19-I19</f>
        <v>10161.86</v>
      </c>
      <c r="I19" s="89">
        <f>$I$12*0</f>
        <v>0</v>
      </c>
      <c r="J19" s="92">
        <v>10161.86</v>
      </c>
    </row>
    <row r="20" spans="1:10" ht="33" customHeight="1">
      <c r="A20" s="86"/>
      <c r="B20" s="211" t="s">
        <v>31</v>
      </c>
      <c r="C20" s="211"/>
      <c r="D20" s="211"/>
      <c r="E20" s="93" t="s">
        <v>9</v>
      </c>
      <c r="F20" s="72" t="s">
        <v>10</v>
      </c>
      <c r="G20" s="70">
        <v>0.51</v>
      </c>
      <c r="H20" s="88">
        <f>ROUND(G20*$E$3*12,2)</f>
        <v>15612.73</v>
      </c>
      <c r="I20" s="89">
        <f>$I$12*0.04</f>
        <v>3374.5344</v>
      </c>
      <c r="J20" s="90">
        <f t="shared" si="0"/>
        <v>18987.2644</v>
      </c>
    </row>
    <row r="21" spans="1:10" ht="38.25">
      <c r="A21" s="25"/>
      <c r="B21" s="210" t="s">
        <v>27</v>
      </c>
      <c r="C21" s="210"/>
      <c r="D21" s="210"/>
      <c r="E21" s="91" t="s">
        <v>158</v>
      </c>
      <c r="F21" s="71" t="s">
        <v>25</v>
      </c>
      <c r="G21" s="70">
        <v>0.12</v>
      </c>
      <c r="H21" s="88">
        <f>J21-I21</f>
        <v>2261.7464</v>
      </c>
      <c r="I21" s="89">
        <f>$I$12*0.01</f>
        <v>843.6336</v>
      </c>
      <c r="J21" s="92">
        <v>3105.38</v>
      </c>
    </row>
    <row r="22" spans="1:10" ht="31.5">
      <c r="A22" s="86"/>
      <c r="B22" s="210" t="s">
        <v>11</v>
      </c>
      <c r="C22" s="210"/>
      <c r="D22" s="210"/>
      <c r="E22" s="91" t="s">
        <v>9</v>
      </c>
      <c r="F22" s="71" t="s">
        <v>12</v>
      </c>
      <c r="G22" s="70">
        <v>0</v>
      </c>
      <c r="H22" s="88">
        <f>J22-I22</f>
        <v>0</v>
      </c>
      <c r="I22" s="89">
        <f>$I$12*0</f>
        <v>0</v>
      </c>
      <c r="J22" s="92">
        <f>G22*E3*12</f>
        <v>0</v>
      </c>
    </row>
    <row r="23" spans="1:10" ht="15.75" customHeight="1">
      <c r="A23" s="86"/>
      <c r="B23" s="210" t="s">
        <v>26</v>
      </c>
      <c r="C23" s="205"/>
      <c r="D23" s="205"/>
      <c r="E23" s="94" t="s">
        <v>13</v>
      </c>
      <c r="F23" s="68" t="s">
        <v>14</v>
      </c>
      <c r="G23" s="70">
        <v>0.05</v>
      </c>
      <c r="H23" s="88">
        <f>J23-I23</f>
        <v>0</v>
      </c>
      <c r="I23" s="89">
        <f>$I$12*0</f>
        <v>0</v>
      </c>
      <c r="J23" s="92">
        <v>0</v>
      </c>
    </row>
    <row r="24" spans="1:10" ht="36.75" customHeight="1">
      <c r="A24" s="25"/>
      <c r="B24" s="210" t="s">
        <v>159</v>
      </c>
      <c r="C24" s="210"/>
      <c r="D24" s="210"/>
      <c r="E24" s="87" t="s">
        <v>36</v>
      </c>
      <c r="F24" s="95" t="s">
        <v>160</v>
      </c>
      <c r="G24" s="70">
        <v>2.15</v>
      </c>
      <c r="H24" s="88">
        <f aca="true" t="shared" si="1" ref="H24:H29">ROUND(G24*$E$3*12,2)</f>
        <v>65818.38</v>
      </c>
      <c r="I24" s="89">
        <f>$I$12*0.19</f>
        <v>16029.0384</v>
      </c>
      <c r="J24" s="90">
        <f t="shared" si="0"/>
        <v>81847.41840000001</v>
      </c>
    </row>
    <row r="25" spans="1:10" ht="25.5">
      <c r="A25" s="25"/>
      <c r="B25" s="209" t="s">
        <v>15</v>
      </c>
      <c r="C25" s="209"/>
      <c r="D25" s="209"/>
      <c r="E25" s="87" t="s">
        <v>36</v>
      </c>
      <c r="F25" s="95" t="s">
        <v>160</v>
      </c>
      <c r="G25" s="70">
        <v>0.44</v>
      </c>
      <c r="H25" s="96">
        <f>ROUND((25494.8*G25),2)</f>
        <v>11217.71</v>
      </c>
      <c r="I25" s="89">
        <v>0</v>
      </c>
      <c r="J25" s="90">
        <f t="shared" si="0"/>
        <v>11217.71</v>
      </c>
    </row>
    <row r="26" spans="1:10" ht="33" customHeight="1">
      <c r="A26" s="25"/>
      <c r="B26" s="182" t="s">
        <v>37</v>
      </c>
      <c r="C26" s="207"/>
      <c r="D26" s="208"/>
      <c r="E26" s="87" t="s">
        <v>36</v>
      </c>
      <c r="F26" s="95" t="s">
        <v>160</v>
      </c>
      <c r="G26" s="97">
        <f>3.46-G27-G28</f>
        <v>3.46</v>
      </c>
      <c r="H26" s="96">
        <f t="shared" si="1"/>
        <v>105921.67</v>
      </c>
      <c r="I26" s="98">
        <f>$I$12*0.22</f>
        <v>18559.9392</v>
      </c>
      <c r="J26" s="90">
        <f t="shared" si="0"/>
        <v>124481.6092</v>
      </c>
    </row>
    <row r="27" spans="1:10" ht="31.5" customHeight="1">
      <c r="A27" s="86"/>
      <c r="B27" s="210" t="s">
        <v>161</v>
      </c>
      <c r="C27" s="210"/>
      <c r="D27" s="210"/>
      <c r="E27" s="87" t="s">
        <v>36</v>
      </c>
      <c r="F27" s="95" t="s">
        <v>160</v>
      </c>
      <c r="G27" s="97">
        <v>0</v>
      </c>
      <c r="H27" s="96">
        <f t="shared" si="1"/>
        <v>0</v>
      </c>
      <c r="I27" s="98">
        <f>$I$12*0</f>
        <v>0</v>
      </c>
      <c r="J27" s="90">
        <f t="shared" si="0"/>
        <v>0</v>
      </c>
    </row>
    <row r="28" spans="1:10" ht="15.75">
      <c r="A28" s="25"/>
      <c r="B28" s="210" t="s">
        <v>162</v>
      </c>
      <c r="C28" s="210"/>
      <c r="D28" s="210"/>
      <c r="E28" s="91" t="s">
        <v>9</v>
      </c>
      <c r="F28" s="95" t="s">
        <v>160</v>
      </c>
      <c r="G28" s="97">
        <v>0</v>
      </c>
      <c r="H28" s="96">
        <f t="shared" si="1"/>
        <v>0</v>
      </c>
      <c r="I28" s="98">
        <f>$I$12*0</f>
        <v>0</v>
      </c>
      <c r="J28" s="90">
        <f t="shared" si="0"/>
        <v>0</v>
      </c>
    </row>
    <row r="29" spans="1:10" ht="25.5">
      <c r="A29" s="25"/>
      <c r="B29" s="205" t="s">
        <v>21</v>
      </c>
      <c r="C29" s="205"/>
      <c r="D29" s="205"/>
      <c r="E29" s="91" t="s">
        <v>36</v>
      </c>
      <c r="F29" s="95" t="s">
        <v>160</v>
      </c>
      <c r="G29" s="68">
        <v>1.06</v>
      </c>
      <c r="H29" s="88">
        <f t="shared" si="1"/>
        <v>32449.99</v>
      </c>
      <c r="I29" s="89">
        <f>$I$12*0.1</f>
        <v>8436.336000000001</v>
      </c>
      <c r="J29" s="90">
        <f t="shared" si="0"/>
        <v>40886.326</v>
      </c>
    </row>
    <row r="30" spans="1:10" ht="15.75" customHeight="1">
      <c r="A30" s="25"/>
      <c r="B30" s="199"/>
      <c r="C30" s="200"/>
      <c r="D30" s="201"/>
      <c r="E30" s="91"/>
      <c r="F30" s="95"/>
      <c r="G30" s="68"/>
      <c r="H30" s="96"/>
      <c r="I30" s="82"/>
      <c r="J30" s="99"/>
    </row>
    <row r="31" spans="1:10" ht="15.75">
      <c r="A31" s="25"/>
      <c r="B31" s="199"/>
      <c r="C31" s="200"/>
      <c r="D31" s="201"/>
      <c r="E31" s="91"/>
      <c r="F31" s="95"/>
      <c r="G31" s="68"/>
      <c r="H31" s="96"/>
      <c r="I31" s="82"/>
      <c r="J31" s="99"/>
    </row>
    <row r="32" spans="1:10" ht="15.75">
      <c r="A32" s="25"/>
      <c r="B32" s="173" t="s">
        <v>30</v>
      </c>
      <c r="C32" s="173"/>
      <c r="D32" s="173"/>
      <c r="E32" s="14"/>
      <c r="F32" s="95"/>
      <c r="G32" s="22">
        <f>SUM(G17:G29)</f>
        <v>9.520000000000001</v>
      </c>
      <c r="H32" s="100">
        <f>SUM(H17:H31)</f>
        <v>284465.7764</v>
      </c>
      <c r="I32" s="101">
        <f>SUM(I17:I31)</f>
        <v>47243.48160000001</v>
      </c>
      <c r="J32" s="100">
        <f>SUM(J17:J31)</f>
        <v>331709.25800000003</v>
      </c>
    </row>
    <row r="33" spans="1:10" ht="15.75">
      <c r="A33" s="25"/>
      <c r="B33" s="206" t="s">
        <v>163</v>
      </c>
      <c r="C33" s="207"/>
      <c r="D33" s="208"/>
      <c r="E33" s="91" t="s">
        <v>9</v>
      </c>
      <c r="F33" s="95"/>
      <c r="G33" s="68"/>
      <c r="H33" s="96"/>
      <c r="I33" s="82"/>
      <c r="J33" s="99"/>
    </row>
    <row r="34" spans="1:10" ht="25.5">
      <c r="A34" s="25"/>
      <c r="B34" s="206" t="s">
        <v>164</v>
      </c>
      <c r="C34" s="207"/>
      <c r="D34" s="208"/>
      <c r="E34" s="87" t="s">
        <v>36</v>
      </c>
      <c r="F34" s="95"/>
      <c r="G34" s="68"/>
      <c r="H34" s="96"/>
      <c r="I34" s="82"/>
      <c r="J34" s="99"/>
    </row>
    <row r="35" spans="1:10" ht="15.75">
      <c r="A35" s="25"/>
      <c r="B35" s="128"/>
      <c r="C35" s="129"/>
      <c r="D35" s="129"/>
      <c r="E35" s="130"/>
      <c r="F35" s="95"/>
      <c r="G35" s="22"/>
      <c r="H35" s="100"/>
      <c r="I35" s="101"/>
      <c r="J35" s="100"/>
    </row>
    <row r="36" spans="1:10" ht="15.75" customHeight="1">
      <c r="A36" s="25" t="s">
        <v>165</v>
      </c>
      <c r="B36" s="202" t="s">
        <v>166</v>
      </c>
      <c r="C36" s="203"/>
      <c r="D36" s="203"/>
      <c r="E36" s="204"/>
      <c r="F36" s="95" t="s">
        <v>160</v>
      </c>
      <c r="G36" s="26">
        <f>H36/E3/12</f>
        <v>0.7364796885003856</v>
      </c>
      <c r="H36" s="102">
        <v>22546</v>
      </c>
      <c r="I36" s="103">
        <v>0</v>
      </c>
      <c r="J36" s="83">
        <f t="shared" si="0"/>
        <v>22546</v>
      </c>
    </row>
    <row r="37" spans="1:10" ht="15.75" customHeight="1">
      <c r="A37" s="28"/>
      <c r="B37" s="197" t="s">
        <v>76</v>
      </c>
      <c r="C37" s="197"/>
      <c r="D37" s="197"/>
      <c r="E37" s="197"/>
      <c r="F37" s="197"/>
      <c r="G37" s="22">
        <f>SUM(G32:G36)</f>
        <v>10.256479688500386</v>
      </c>
      <c r="H37" s="104">
        <f>SUM(H32:H36)</f>
        <v>307011.7764</v>
      </c>
      <c r="I37" s="105">
        <f>SUM(I32:I36)</f>
        <v>47243.48160000001</v>
      </c>
      <c r="J37" s="104">
        <f>SUM(J32:J36)</f>
        <v>354255.25800000003</v>
      </c>
    </row>
    <row r="38" spans="1:10" ht="15.75" customHeight="1">
      <c r="A38" s="25" t="s">
        <v>143</v>
      </c>
      <c r="B38" s="196" t="s">
        <v>167</v>
      </c>
      <c r="C38" s="196"/>
      <c r="D38" s="196"/>
      <c r="E38" s="196"/>
      <c r="F38" s="196"/>
      <c r="G38" s="26"/>
      <c r="H38" s="106">
        <v>0</v>
      </c>
      <c r="I38" s="106">
        <v>0</v>
      </c>
      <c r="J38" s="107">
        <f t="shared" si="0"/>
        <v>0</v>
      </c>
    </row>
    <row r="39" spans="1:10" ht="19.5" customHeight="1">
      <c r="A39" s="28"/>
      <c r="B39" s="197" t="s">
        <v>168</v>
      </c>
      <c r="C39" s="197"/>
      <c r="D39" s="197"/>
      <c r="E39" s="197"/>
      <c r="F39" s="197"/>
      <c r="G39" s="22">
        <f>SUM(G37:G38)</f>
        <v>10.256479688500386</v>
      </c>
      <c r="H39" s="104">
        <f>SUM(H37:H38)</f>
        <v>307011.7764</v>
      </c>
      <c r="I39" s="105">
        <f>SUM(I37:I38)</f>
        <v>47243.48160000001</v>
      </c>
      <c r="J39" s="104">
        <f>SUM(J37:J38)</f>
        <v>354255.25800000003</v>
      </c>
    </row>
    <row r="40" spans="1:10" ht="15.75">
      <c r="A40" s="25">
        <v>3</v>
      </c>
      <c r="B40" s="182" t="s">
        <v>217</v>
      </c>
      <c r="C40" s="183"/>
      <c r="D40" s="183"/>
      <c r="E40" s="183"/>
      <c r="F40" s="183"/>
      <c r="G40" s="184"/>
      <c r="H40" s="88">
        <f>H14-H39</f>
        <v>41384.04360000003</v>
      </c>
      <c r="I40" s="88">
        <f>I14-I39</f>
        <v>37119.878399999994</v>
      </c>
      <c r="J40" s="108">
        <f>J14-J39</f>
        <v>78503.92199999996</v>
      </c>
    </row>
    <row r="41" spans="2:6" ht="15.75">
      <c r="B41" s="37"/>
      <c r="F41" s="37"/>
    </row>
    <row r="42" spans="2:9" ht="15.75">
      <c r="B42" s="61" t="s">
        <v>170</v>
      </c>
      <c r="C42" s="61"/>
      <c r="D42" s="61"/>
      <c r="E42" s="37"/>
      <c r="F42" s="37"/>
      <c r="H42" s="219" t="s">
        <v>228</v>
      </c>
      <c r="I42" s="219"/>
    </row>
    <row r="43" spans="2:4" ht="15.75">
      <c r="B43" s="61"/>
      <c r="C43" s="61"/>
      <c r="D43" s="61"/>
    </row>
    <row r="44" spans="2:4" ht="15.75">
      <c r="B44" s="109" t="s">
        <v>172</v>
      </c>
      <c r="C44" s="109"/>
      <c r="D44" s="62"/>
    </row>
    <row r="45" spans="2:4" ht="15.75">
      <c r="B45" s="181" t="s">
        <v>173</v>
      </c>
      <c r="C45" s="181"/>
      <c r="D45" s="181"/>
    </row>
  </sheetData>
  <mergeCells count="37">
    <mergeCell ref="B45:D45"/>
    <mergeCell ref="A1:J1"/>
    <mergeCell ref="A2:J2"/>
    <mergeCell ref="B38:F38"/>
    <mergeCell ref="B39:F39"/>
    <mergeCell ref="B40:G40"/>
    <mergeCell ref="H42:I42"/>
    <mergeCell ref="B31:D31"/>
    <mergeCell ref="B32:D32"/>
    <mergeCell ref="B36:E36"/>
    <mergeCell ref="B27:D27"/>
    <mergeCell ref="B28:D28"/>
    <mergeCell ref="B37:F37"/>
    <mergeCell ref="B29:D29"/>
    <mergeCell ref="B30:D30"/>
    <mergeCell ref="B33:D33"/>
    <mergeCell ref="B34:D34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H7:J7"/>
    <mergeCell ref="B8:F8"/>
    <mergeCell ref="B9:F9"/>
  </mergeCells>
  <printOptions/>
  <pageMargins left="0" right="0" top="0" bottom="0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4.50390625" style="0" customWidth="1"/>
    <col min="6" max="6" width="17.75390625" style="0" hidden="1" customWidth="1"/>
    <col min="7" max="7" width="7.375" style="0" hidden="1" customWidth="1"/>
    <col min="8" max="8" width="13.25390625" style="0" customWidth="1"/>
  </cols>
  <sheetData>
    <row r="1" spans="1:8" ht="85.5" customHeight="1">
      <c r="A1" s="191" t="s">
        <v>219</v>
      </c>
      <c r="B1" s="191"/>
      <c r="C1" s="191"/>
      <c r="D1" s="191"/>
      <c r="E1" s="191"/>
      <c r="F1" s="191"/>
      <c r="G1" s="191"/>
      <c r="H1" s="191"/>
    </row>
    <row r="2" spans="1:6" ht="18.75">
      <c r="A2" t="s">
        <v>85</v>
      </c>
      <c r="B2" s="1" t="s">
        <v>84</v>
      </c>
      <c r="C2" s="2"/>
      <c r="D2" s="2" t="s">
        <v>0</v>
      </c>
      <c r="E2" s="29">
        <v>2551.1</v>
      </c>
      <c r="F2" s="2"/>
    </row>
    <row r="3" spans="2:6" ht="15.75">
      <c r="B3" s="3" t="s">
        <v>1</v>
      </c>
      <c r="C3" s="30">
        <v>5</v>
      </c>
      <c r="D3" s="2" t="s">
        <v>2</v>
      </c>
      <c r="E3" s="30">
        <v>64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8.25">
      <c r="A6" s="63" t="s">
        <v>61</v>
      </c>
      <c r="B6" s="224" t="s">
        <v>145</v>
      </c>
      <c r="C6" s="225"/>
      <c r="D6" s="226"/>
      <c r="E6" s="64" t="s">
        <v>6</v>
      </c>
      <c r="F6" s="64" t="s">
        <v>7</v>
      </c>
      <c r="G6" s="111" t="s">
        <v>208</v>
      </c>
      <c r="H6" s="112" t="s">
        <v>138</v>
      </c>
    </row>
    <row r="7" spans="1:8" ht="15.75" customHeight="1">
      <c r="A7" s="65">
        <v>1</v>
      </c>
      <c r="B7" s="227" t="s">
        <v>139</v>
      </c>
      <c r="C7" s="227"/>
      <c r="D7" s="227"/>
      <c r="E7" s="227"/>
      <c r="F7" s="227"/>
      <c r="G7" s="66"/>
      <c r="H7" s="113"/>
    </row>
    <row r="8" spans="1:8" ht="31.5" customHeight="1">
      <c r="A8" s="65"/>
      <c r="B8" s="188" t="s">
        <v>209</v>
      </c>
      <c r="C8" s="188"/>
      <c r="D8" s="188"/>
      <c r="E8" s="188"/>
      <c r="F8" s="188"/>
      <c r="G8" s="26">
        <f>G31</f>
        <v>10.580000000000002</v>
      </c>
      <c r="H8" s="113">
        <f>ROUND($E$2*G8*12,0)</f>
        <v>323888</v>
      </c>
    </row>
    <row r="9" spans="1:8" ht="15.75" customHeight="1">
      <c r="A9" s="65"/>
      <c r="B9" s="231" t="s">
        <v>140</v>
      </c>
      <c r="C9" s="231"/>
      <c r="D9" s="231"/>
      <c r="E9" s="231"/>
      <c r="F9" s="231"/>
      <c r="G9" s="25">
        <v>0.76</v>
      </c>
      <c r="H9" s="113">
        <f>ROUND($E$2*G9*12,0)</f>
        <v>23266</v>
      </c>
    </row>
    <row r="10" spans="1:8" ht="18.75" customHeight="1">
      <c r="A10" s="65">
        <v>2</v>
      </c>
      <c r="B10" s="169" t="s">
        <v>74</v>
      </c>
      <c r="C10" s="169"/>
      <c r="D10" s="169"/>
      <c r="E10" s="169"/>
      <c r="F10" s="169"/>
      <c r="G10" s="68"/>
      <c r="H10" s="113"/>
    </row>
    <row r="11" spans="1:8" ht="15.75" customHeight="1">
      <c r="A11" s="65" t="s">
        <v>141</v>
      </c>
      <c r="B11" s="19" t="s">
        <v>75</v>
      </c>
      <c r="C11" s="19"/>
      <c r="D11" s="19"/>
      <c r="E11" s="19"/>
      <c r="F11" s="5"/>
      <c r="G11" s="78"/>
      <c r="H11" s="113"/>
    </row>
    <row r="12" spans="1:8" ht="31.5" customHeight="1">
      <c r="A12" s="114"/>
      <c r="B12" s="230" t="s">
        <v>210</v>
      </c>
      <c r="C12" s="230"/>
      <c r="D12" s="230"/>
      <c r="E12" s="87" t="s">
        <v>32</v>
      </c>
      <c r="F12" s="69" t="s">
        <v>24</v>
      </c>
      <c r="G12" s="70">
        <v>1.06</v>
      </c>
      <c r="H12" s="67">
        <f aca="true" t="shared" si="0" ref="H12:H31">ROUND($E$2*G12*12,0)</f>
        <v>32450</v>
      </c>
    </row>
    <row r="13" spans="1:8" ht="15.75">
      <c r="A13" s="114"/>
      <c r="B13" s="230" t="s">
        <v>17</v>
      </c>
      <c r="C13" s="230"/>
      <c r="D13" s="230"/>
      <c r="E13" s="87" t="s">
        <v>32</v>
      </c>
      <c r="F13" s="69" t="s">
        <v>19</v>
      </c>
      <c r="G13" s="70">
        <v>0.28</v>
      </c>
      <c r="H13" s="67">
        <f t="shared" si="0"/>
        <v>8572</v>
      </c>
    </row>
    <row r="14" spans="1:8" ht="15.75" customHeight="1">
      <c r="A14" s="114"/>
      <c r="B14" s="228" t="s">
        <v>23</v>
      </c>
      <c r="C14" s="228"/>
      <c r="D14" s="228"/>
      <c r="E14" s="91" t="s">
        <v>157</v>
      </c>
      <c r="F14" s="71" t="s">
        <v>20</v>
      </c>
      <c r="G14" s="70">
        <v>0.39</v>
      </c>
      <c r="H14" s="67">
        <f t="shared" si="0"/>
        <v>11939</v>
      </c>
    </row>
    <row r="15" spans="1:8" ht="31.5">
      <c r="A15" s="114"/>
      <c r="B15" s="235" t="s">
        <v>31</v>
      </c>
      <c r="C15" s="235"/>
      <c r="D15" s="235"/>
      <c r="E15" s="93" t="s">
        <v>9</v>
      </c>
      <c r="F15" s="72" t="s">
        <v>10</v>
      </c>
      <c r="G15" s="70">
        <v>0.51</v>
      </c>
      <c r="H15" s="67">
        <f t="shared" si="0"/>
        <v>15613</v>
      </c>
    </row>
    <row r="16" spans="1:8" ht="38.25">
      <c r="A16" s="114"/>
      <c r="B16" s="228" t="s">
        <v>27</v>
      </c>
      <c r="C16" s="228"/>
      <c r="D16" s="228"/>
      <c r="E16" s="91" t="s">
        <v>158</v>
      </c>
      <c r="F16" s="71" t="s">
        <v>25</v>
      </c>
      <c r="G16" s="70">
        <v>0.12</v>
      </c>
      <c r="H16" s="67">
        <f t="shared" si="0"/>
        <v>3674</v>
      </c>
    </row>
    <row r="17" spans="1:8" ht="31.5" customHeight="1">
      <c r="A17" s="114"/>
      <c r="B17" s="228" t="s">
        <v>11</v>
      </c>
      <c r="C17" s="228"/>
      <c r="D17" s="228"/>
      <c r="E17" s="91" t="s">
        <v>9</v>
      </c>
      <c r="F17" s="71" t="s">
        <v>12</v>
      </c>
      <c r="G17" s="70">
        <v>0</v>
      </c>
      <c r="H17" s="67">
        <f t="shared" si="0"/>
        <v>0</v>
      </c>
    </row>
    <row r="18" spans="1:8" ht="15.75">
      <c r="A18" s="114"/>
      <c r="B18" s="228" t="s">
        <v>26</v>
      </c>
      <c r="C18" s="229"/>
      <c r="D18" s="229"/>
      <c r="E18" s="94" t="s">
        <v>13</v>
      </c>
      <c r="F18" s="68" t="s">
        <v>211</v>
      </c>
      <c r="G18" s="70">
        <v>0.05</v>
      </c>
      <c r="H18" s="67">
        <f t="shared" si="0"/>
        <v>1531</v>
      </c>
    </row>
    <row r="19" spans="1:8" ht="25.5">
      <c r="A19" s="114"/>
      <c r="B19" s="228" t="s">
        <v>159</v>
      </c>
      <c r="C19" s="228"/>
      <c r="D19" s="228"/>
      <c r="E19" s="87" t="s">
        <v>36</v>
      </c>
      <c r="F19" s="71" t="s">
        <v>77</v>
      </c>
      <c r="G19" s="70">
        <v>2.15</v>
      </c>
      <c r="H19" s="67">
        <f t="shared" si="0"/>
        <v>65818</v>
      </c>
    </row>
    <row r="20" spans="1:8" ht="38.25">
      <c r="A20" s="114"/>
      <c r="B20" s="230" t="s">
        <v>15</v>
      </c>
      <c r="C20" s="230"/>
      <c r="D20" s="230"/>
      <c r="E20" s="87" t="s">
        <v>142</v>
      </c>
      <c r="F20" s="71" t="s">
        <v>77</v>
      </c>
      <c r="G20" s="70">
        <v>0.44</v>
      </c>
      <c r="H20" s="67">
        <f t="shared" si="0"/>
        <v>13470</v>
      </c>
    </row>
    <row r="21" spans="1:8" ht="28.5" customHeight="1">
      <c r="A21" s="114"/>
      <c r="B21" s="228" t="s">
        <v>37</v>
      </c>
      <c r="C21" s="229"/>
      <c r="D21" s="229"/>
      <c r="E21" s="87" t="s">
        <v>36</v>
      </c>
      <c r="F21" s="71" t="s">
        <v>77</v>
      </c>
      <c r="G21" s="70">
        <f>3.46-G22-G23</f>
        <v>3.46</v>
      </c>
      <c r="H21" s="67">
        <f t="shared" si="0"/>
        <v>105922</v>
      </c>
    </row>
    <row r="22" spans="1:8" ht="31.5" customHeight="1">
      <c r="A22" s="114"/>
      <c r="B22" s="228" t="s">
        <v>212</v>
      </c>
      <c r="C22" s="228"/>
      <c r="D22" s="228"/>
      <c r="E22" s="91" t="s">
        <v>9</v>
      </c>
      <c r="F22" s="71" t="s">
        <v>77</v>
      </c>
      <c r="G22" s="70">
        <v>0</v>
      </c>
      <c r="H22" s="67">
        <f t="shared" si="0"/>
        <v>0</v>
      </c>
    </row>
    <row r="23" spans="1:8" ht="15.75" customHeight="1">
      <c r="A23" s="114"/>
      <c r="B23" s="228" t="s">
        <v>162</v>
      </c>
      <c r="C23" s="228"/>
      <c r="D23" s="228"/>
      <c r="E23" s="91" t="s">
        <v>9</v>
      </c>
      <c r="F23" s="71" t="s">
        <v>77</v>
      </c>
      <c r="G23" s="70">
        <v>0</v>
      </c>
      <c r="H23" s="67">
        <f t="shared" si="0"/>
        <v>0</v>
      </c>
    </row>
    <row r="24" spans="1:8" ht="36.75" customHeight="1">
      <c r="A24" s="114"/>
      <c r="B24" s="229" t="s">
        <v>21</v>
      </c>
      <c r="C24" s="229"/>
      <c r="D24" s="229"/>
      <c r="E24" s="87" t="s">
        <v>36</v>
      </c>
      <c r="F24" s="71" t="s">
        <v>77</v>
      </c>
      <c r="G24" s="70">
        <v>1.06</v>
      </c>
      <c r="H24" s="67">
        <f t="shared" si="0"/>
        <v>32450</v>
      </c>
    </row>
    <row r="25" spans="1:8" ht="15.75">
      <c r="A25" s="114"/>
      <c r="B25" s="206" t="s">
        <v>163</v>
      </c>
      <c r="C25" s="207"/>
      <c r="D25" s="208"/>
      <c r="E25" s="91" t="s">
        <v>9</v>
      </c>
      <c r="F25" s="71"/>
      <c r="G25" s="70"/>
      <c r="H25" s="67"/>
    </row>
    <row r="26" spans="1:8" ht="25.5">
      <c r="A26" s="114"/>
      <c r="B26" s="206" t="s">
        <v>164</v>
      </c>
      <c r="C26" s="207"/>
      <c r="D26" s="208"/>
      <c r="E26" s="87" t="s">
        <v>36</v>
      </c>
      <c r="F26" s="71"/>
      <c r="G26" s="70"/>
      <c r="H26" s="67"/>
    </row>
    <row r="27" spans="1:8" ht="31.5" customHeight="1">
      <c r="A27" s="114"/>
      <c r="B27" s="199"/>
      <c r="C27" s="200"/>
      <c r="D27" s="201"/>
      <c r="E27" s="87"/>
      <c r="F27" s="71"/>
      <c r="G27" s="70"/>
      <c r="H27" s="67"/>
    </row>
    <row r="28" spans="1:8" ht="15.75">
      <c r="A28" s="114"/>
      <c r="B28" s="199"/>
      <c r="C28" s="200"/>
      <c r="D28" s="201"/>
      <c r="E28" s="87"/>
      <c r="F28" s="71"/>
      <c r="G28" s="70"/>
      <c r="H28" s="67"/>
    </row>
    <row r="29" spans="1:8" ht="15.75">
      <c r="A29" s="114"/>
      <c r="B29" s="232" t="s">
        <v>30</v>
      </c>
      <c r="C29" s="233"/>
      <c r="D29" s="234"/>
      <c r="E29" s="14"/>
      <c r="F29" s="71"/>
      <c r="G29" s="22">
        <f>SUM(G12:G28)</f>
        <v>9.520000000000001</v>
      </c>
      <c r="H29" s="67">
        <f t="shared" si="0"/>
        <v>291438</v>
      </c>
    </row>
    <row r="30" spans="1:8" ht="19.5" customHeight="1">
      <c r="A30" s="65" t="s">
        <v>165</v>
      </c>
      <c r="B30" s="202" t="s">
        <v>213</v>
      </c>
      <c r="C30" s="203"/>
      <c r="D30" s="203"/>
      <c r="E30" s="204"/>
      <c r="F30" s="71" t="s">
        <v>77</v>
      </c>
      <c r="G30" s="26">
        <v>1.06</v>
      </c>
      <c r="H30" s="67">
        <f t="shared" si="0"/>
        <v>32450</v>
      </c>
    </row>
    <row r="31" spans="1:8" ht="15.75">
      <c r="A31" s="65"/>
      <c r="B31" s="220" t="s">
        <v>214</v>
      </c>
      <c r="C31" s="220"/>
      <c r="D31" s="220"/>
      <c r="E31" s="220"/>
      <c r="F31" s="220"/>
      <c r="G31" s="22">
        <f>SUM(G29:G30)</f>
        <v>10.580000000000002</v>
      </c>
      <c r="H31" s="115">
        <f t="shared" si="0"/>
        <v>323888</v>
      </c>
    </row>
    <row r="32" spans="1:8" ht="16.5" thickBot="1">
      <c r="A32" s="116">
        <v>3</v>
      </c>
      <c r="B32" s="221" t="s">
        <v>215</v>
      </c>
      <c r="C32" s="222"/>
      <c r="D32" s="223"/>
      <c r="E32" s="117"/>
      <c r="F32" s="73" t="s">
        <v>77</v>
      </c>
      <c r="G32" s="74">
        <v>0.76</v>
      </c>
      <c r="H32" s="118">
        <f>ROUND($E$2*G32*12,0)</f>
        <v>23266</v>
      </c>
    </row>
    <row r="34" spans="2:6" ht="15.75">
      <c r="B34" s="37" t="s">
        <v>83</v>
      </c>
      <c r="E34" s="120" t="s">
        <v>80</v>
      </c>
      <c r="F34" s="37"/>
    </row>
  </sheetData>
  <mergeCells count="27">
    <mergeCell ref="B17:D17"/>
    <mergeCell ref="B12:D12"/>
    <mergeCell ref="B13:D13"/>
    <mergeCell ref="B14:D14"/>
    <mergeCell ref="B15:D15"/>
    <mergeCell ref="B21:D21"/>
    <mergeCell ref="B22:D22"/>
    <mergeCell ref="B23:D23"/>
    <mergeCell ref="B24:D24"/>
    <mergeCell ref="B29:D29"/>
    <mergeCell ref="B25:D25"/>
    <mergeCell ref="B26:D26"/>
    <mergeCell ref="B27:D27"/>
    <mergeCell ref="B8:F8"/>
    <mergeCell ref="B9:F9"/>
    <mergeCell ref="B10:F10"/>
    <mergeCell ref="B16:D16"/>
    <mergeCell ref="B30:E30"/>
    <mergeCell ref="B31:F31"/>
    <mergeCell ref="B32:D32"/>
    <mergeCell ref="A1:H1"/>
    <mergeCell ref="B6:D6"/>
    <mergeCell ref="B7:F7"/>
    <mergeCell ref="B28:D28"/>
    <mergeCell ref="B18:D18"/>
    <mergeCell ref="B19:D19"/>
    <mergeCell ref="B20:D20"/>
  </mergeCells>
  <printOptions/>
  <pageMargins left="0.7874015748031497" right="0.5905511811023623" top="0.5905511811023623" bottom="0.3937007874015748" header="0.31496062992125984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4.50390625" style="0" customWidth="1"/>
    <col min="6" max="6" width="17.75390625" style="0" hidden="1" customWidth="1"/>
    <col min="7" max="7" width="7.375" style="0" hidden="1" customWidth="1"/>
    <col min="8" max="8" width="13.25390625" style="0" customWidth="1"/>
  </cols>
  <sheetData>
    <row r="1" spans="1:8" ht="85.5" customHeight="1">
      <c r="A1" s="191" t="s">
        <v>220</v>
      </c>
      <c r="B1" s="191"/>
      <c r="C1" s="191"/>
      <c r="D1" s="191"/>
      <c r="E1" s="191"/>
      <c r="F1" s="191"/>
      <c r="G1" s="191"/>
      <c r="H1" s="191"/>
    </row>
    <row r="2" spans="1:6" ht="18.75">
      <c r="A2" t="s">
        <v>85</v>
      </c>
      <c r="B2" s="1" t="s">
        <v>84</v>
      </c>
      <c r="C2" s="2"/>
      <c r="D2" s="2" t="s">
        <v>0</v>
      </c>
      <c r="E2" s="29">
        <v>2551.1</v>
      </c>
      <c r="F2" s="2"/>
    </row>
    <row r="3" spans="2:6" ht="15.75">
      <c r="B3" s="3" t="s">
        <v>1</v>
      </c>
      <c r="C3" s="30">
        <v>5</v>
      </c>
      <c r="D3" s="2" t="s">
        <v>2</v>
      </c>
      <c r="E3" s="30">
        <v>64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8.25">
      <c r="A6" s="63" t="s">
        <v>61</v>
      </c>
      <c r="B6" s="224" t="s">
        <v>145</v>
      </c>
      <c r="C6" s="225"/>
      <c r="D6" s="226"/>
      <c r="E6" s="64" t="s">
        <v>6</v>
      </c>
      <c r="F6" s="64" t="s">
        <v>7</v>
      </c>
      <c r="G6" s="111" t="s">
        <v>208</v>
      </c>
      <c r="H6" s="112" t="s">
        <v>138</v>
      </c>
    </row>
    <row r="7" spans="1:8" ht="15.75" customHeight="1">
      <c r="A7" s="65">
        <v>1</v>
      </c>
      <c r="B7" s="227" t="s">
        <v>139</v>
      </c>
      <c r="C7" s="227"/>
      <c r="D7" s="227"/>
      <c r="E7" s="227"/>
      <c r="F7" s="227"/>
      <c r="G7" s="66"/>
      <c r="H7" s="113"/>
    </row>
    <row r="8" spans="1:8" ht="31.5" customHeight="1">
      <c r="A8" s="65"/>
      <c r="B8" s="188" t="s">
        <v>209</v>
      </c>
      <c r="C8" s="188"/>
      <c r="D8" s="188"/>
      <c r="E8" s="188"/>
      <c r="F8" s="188"/>
      <c r="G8" s="26">
        <f>G29</f>
        <v>10.89</v>
      </c>
      <c r="H8" s="113">
        <f>ROUND($E$2*G8*12,0)</f>
        <v>333378</v>
      </c>
    </row>
    <row r="9" spans="1:8" ht="15.75" customHeight="1">
      <c r="A9" s="65"/>
      <c r="B9" s="231" t="s">
        <v>140</v>
      </c>
      <c r="C9" s="231"/>
      <c r="D9" s="231"/>
      <c r="E9" s="231"/>
      <c r="F9" s="231"/>
      <c r="G9" s="25">
        <v>0.78</v>
      </c>
      <c r="H9" s="113">
        <f>ROUND($E$2*G9*12,0)</f>
        <v>23878</v>
      </c>
    </row>
    <row r="10" spans="1:8" ht="18.75" customHeight="1">
      <c r="A10" s="65">
        <v>2</v>
      </c>
      <c r="B10" s="169" t="s">
        <v>74</v>
      </c>
      <c r="C10" s="169"/>
      <c r="D10" s="169"/>
      <c r="E10" s="169"/>
      <c r="F10" s="169"/>
      <c r="G10" s="68"/>
      <c r="H10" s="113"/>
    </row>
    <row r="11" spans="1:8" ht="15.75" customHeight="1">
      <c r="A11" s="65" t="s">
        <v>141</v>
      </c>
      <c r="B11" s="19" t="s">
        <v>75</v>
      </c>
      <c r="C11" s="19"/>
      <c r="D11" s="19"/>
      <c r="E11" s="19"/>
      <c r="F11" s="5"/>
      <c r="G11" s="78"/>
      <c r="H11" s="113"/>
    </row>
    <row r="12" spans="1:8" ht="31.5" customHeight="1">
      <c r="A12" s="114"/>
      <c r="B12" s="230" t="s">
        <v>210</v>
      </c>
      <c r="C12" s="230"/>
      <c r="D12" s="230"/>
      <c r="E12" s="87" t="s">
        <v>32</v>
      </c>
      <c r="F12" s="69" t="s">
        <v>24</v>
      </c>
      <c r="G12" s="70">
        <v>1.09</v>
      </c>
      <c r="H12" s="67">
        <f aca="true" t="shared" si="0" ref="H12:H29">ROUND($E$2*G12*12,0)</f>
        <v>33368</v>
      </c>
    </row>
    <row r="13" spans="1:8" ht="15.75">
      <c r="A13" s="114"/>
      <c r="B13" s="230" t="s">
        <v>17</v>
      </c>
      <c r="C13" s="230"/>
      <c r="D13" s="230"/>
      <c r="E13" s="87" t="s">
        <v>32</v>
      </c>
      <c r="F13" s="69" t="s">
        <v>19</v>
      </c>
      <c r="G13" s="70">
        <v>0.29</v>
      </c>
      <c r="H13" s="67">
        <f t="shared" si="0"/>
        <v>8878</v>
      </c>
    </row>
    <row r="14" spans="1:8" ht="15.75" customHeight="1">
      <c r="A14" s="114"/>
      <c r="B14" s="228" t="s">
        <v>23</v>
      </c>
      <c r="C14" s="228"/>
      <c r="D14" s="228"/>
      <c r="E14" s="91" t="s">
        <v>157</v>
      </c>
      <c r="F14" s="71" t="s">
        <v>20</v>
      </c>
      <c r="G14" s="70">
        <v>0.4</v>
      </c>
      <c r="H14" s="67">
        <f t="shared" si="0"/>
        <v>12245</v>
      </c>
    </row>
    <row r="15" spans="1:8" ht="31.5">
      <c r="A15" s="114"/>
      <c r="B15" s="235" t="s">
        <v>31</v>
      </c>
      <c r="C15" s="235"/>
      <c r="D15" s="235"/>
      <c r="E15" s="93" t="s">
        <v>9</v>
      </c>
      <c r="F15" s="72" t="s">
        <v>10</v>
      </c>
      <c r="G15" s="70">
        <v>0.53</v>
      </c>
      <c r="H15" s="67">
        <f t="shared" si="0"/>
        <v>16225</v>
      </c>
    </row>
    <row r="16" spans="1:8" ht="38.25">
      <c r="A16" s="114"/>
      <c r="B16" s="228" t="s">
        <v>27</v>
      </c>
      <c r="C16" s="228"/>
      <c r="D16" s="228"/>
      <c r="E16" s="91" t="s">
        <v>158</v>
      </c>
      <c r="F16" s="71" t="s">
        <v>25</v>
      </c>
      <c r="G16" s="70">
        <v>0.12</v>
      </c>
      <c r="H16" s="67">
        <f t="shared" si="0"/>
        <v>3674</v>
      </c>
    </row>
    <row r="17" spans="1:8" ht="31.5" customHeight="1">
      <c r="A17" s="114"/>
      <c r="B17" s="228" t="s">
        <v>11</v>
      </c>
      <c r="C17" s="228"/>
      <c r="D17" s="228"/>
      <c r="E17" s="91" t="s">
        <v>9</v>
      </c>
      <c r="F17" s="71" t="s">
        <v>12</v>
      </c>
      <c r="G17" s="70">
        <v>0</v>
      </c>
      <c r="H17" s="67">
        <f t="shared" si="0"/>
        <v>0</v>
      </c>
    </row>
    <row r="18" spans="1:8" ht="15.75">
      <c r="A18" s="114"/>
      <c r="B18" s="228" t="s">
        <v>26</v>
      </c>
      <c r="C18" s="229"/>
      <c r="D18" s="229"/>
      <c r="E18" s="94" t="s">
        <v>13</v>
      </c>
      <c r="F18" s="68" t="s">
        <v>211</v>
      </c>
      <c r="G18" s="70">
        <v>0.05</v>
      </c>
      <c r="H18" s="67">
        <f t="shared" si="0"/>
        <v>1531</v>
      </c>
    </row>
    <row r="19" spans="1:8" ht="25.5">
      <c r="A19" s="114"/>
      <c r="B19" s="228" t="s">
        <v>159</v>
      </c>
      <c r="C19" s="228"/>
      <c r="D19" s="228"/>
      <c r="E19" s="87" t="s">
        <v>36</v>
      </c>
      <c r="F19" s="71" t="s">
        <v>77</v>
      </c>
      <c r="G19" s="70">
        <v>2.21</v>
      </c>
      <c r="H19" s="67">
        <f t="shared" si="0"/>
        <v>67655</v>
      </c>
    </row>
    <row r="20" spans="1:8" ht="38.25">
      <c r="A20" s="114"/>
      <c r="B20" s="230" t="s">
        <v>15</v>
      </c>
      <c r="C20" s="230"/>
      <c r="D20" s="230"/>
      <c r="E20" s="87" t="s">
        <v>142</v>
      </c>
      <c r="F20" s="71" t="s">
        <v>77</v>
      </c>
      <c r="G20" s="70">
        <v>0.45</v>
      </c>
      <c r="H20" s="67">
        <f>ROUND($E$2/4*2*G20*12,0)</f>
        <v>6888</v>
      </c>
    </row>
    <row r="21" spans="1:8" ht="28.5" customHeight="1">
      <c r="A21" s="114"/>
      <c r="B21" s="228" t="s">
        <v>37</v>
      </c>
      <c r="C21" s="229"/>
      <c r="D21" s="229"/>
      <c r="E21" s="87" t="s">
        <v>36</v>
      </c>
      <c r="F21" s="71" t="s">
        <v>77</v>
      </c>
      <c r="G21" s="70">
        <f>3.57-G22-G23</f>
        <v>3.57</v>
      </c>
      <c r="H21" s="67">
        <f t="shared" si="0"/>
        <v>109289</v>
      </c>
    </row>
    <row r="22" spans="1:8" ht="31.5" customHeight="1">
      <c r="A22" s="114"/>
      <c r="B22" s="228" t="s">
        <v>212</v>
      </c>
      <c r="C22" s="228"/>
      <c r="D22" s="228"/>
      <c r="E22" s="91" t="s">
        <v>9</v>
      </c>
      <c r="F22" s="71" t="s">
        <v>77</v>
      </c>
      <c r="G22" s="70">
        <v>0</v>
      </c>
      <c r="H22" s="67">
        <f t="shared" si="0"/>
        <v>0</v>
      </c>
    </row>
    <row r="23" spans="1:8" ht="15.75" customHeight="1">
      <c r="A23" s="114"/>
      <c r="B23" s="228" t="s">
        <v>162</v>
      </c>
      <c r="C23" s="228"/>
      <c r="D23" s="228"/>
      <c r="E23" s="91" t="s">
        <v>9</v>
      </c>
      <c r="F23" s="71" t="s">
        <v>77</v>
      </c>
      <c r="G23" s="70">
        <v>0</v>
      </c>
      <c r="H23" s="67">
        <f t="shared" si="0"/>
        <v>0</v>
      </c>
    </row>
    <row r="24" spans="1:8" ht="36.75" customHeight="1">
      <c r="A24" s="114"/>
      <c r="B24" s="229" t="s">
        <v>21</v>
      </c>
      <c r="C24" s="229"/>
      <c r="D24" s="229"/>
      <c r="E24" s="87" t="s">
        <v>36</v>
      </c>
      <c r="F24" s="71" t="s">
        <v>77</v>
      </c>
      <c r="G24" s="70">
        <v>1.09</v>
      </c>
      <c r="H24" s="67">
        <f t="shared" si="0"/>
        <v>33368</v>
      </c>
    </row>
    <row r="25" spans="1:8" ht="15.75">
      <c r="A25" s="114"/>
      <c r="B25" s="206" t="s">
        <v>163</v>
      </c>
      <c r="C25" s="207"/>
      <c r="D25" s="208"/>
      <c r="E25" s="91" t="s">
        <v>9</v>
      </c>
      <c r="F25" s="71"/>
      <c r="G25" s="70"/>
      <c r="H25" s="67"/>
    </row>
    <row r="26" spans="1:8" ht="25.5">
      <c r="A26" s="114"/>
      <c r="B26" s="206" t="s">
        <v>164</v>
      </c>
      <c r="C26" s="207"/>
      <c r="D26" s="208"/>
      <c r="E26" s="87" t="s">
        <v>36</v>
      </c>
      <c r="F26" s="71"/>
      <c r="G26" s="70"/>
      <c r="H26" s="67"/>
    </row>
    <row r="27" spans="1:8" ht="15.75">
      <c r="A27" s="114"/>
      <c r="B27" s="232" t="s">
        <v>30</v>
      </c>
      <c r="C27" s="233"/>
      <c r="D27" s="234"/>
      <c r="E27" s="14"/>
      <c r="F27" s="71"/>
      <c r="G27" s="22">
        <f>SUM(G12:G26)</f>
        <v>9.8</v>
      </c>
      <c r="H27" s="67">
        <f t="shared" si="0"/>
        <v>300009</v>
      </c>
    </row>
    <row r="28" spans="1:8" ht="19.5" customHeight="1">
      <c r="A28" s="65" t="s">
        <v>165</v>
      </c>
      <c r="B28" s="202" t="s">
        <v>38</v>
      </c>
      <c r="C28" s="203"/>
      <c r="D28" s="203"/>
      <c r="E28" s="204"/>
      <c r="F28" s="71" t="s">
        <v>77</v>
      </c>
      <c r="G28" s="26">
        <v>1.09</v>
      </c>
      <c r="H28" s="67">
        <f t="shared" si="0"/>
        <v>33368</v>
      </c>
    </row>
    <row r="29" spans="1:8" ht="15.75">
      <c r="A29" s="65"/>
      <c r="B29" s="220" t="s">
        <v>214</v>
      </c>
      <c r="C29" s="220"/>
      <c r="D29" s="220"/>
      <c r="E29" s="220"/>
      <c r="F29" s="220"/>
      <c r="G29" s="22">
        <f>SUM(G27:G28)</f>
        <v>10.89</v>
      </c>
      <c r="H29" s="115">
        <f t="shared" si="0"/>
        <v>333378</v>
      </c>
    </row>
    <row r="30" spans="1:8" ht="16.5" thickBot="1">
      <c r="A30" s="116">
        <v>3</v>
      </c>
      <c r="B30" s="221" t="s">
        <v>221</v>
      </c>
      <c r="C30" s="222"/>
      <c r="D30" s="223"/>
      <c r="E30" s="117"/>
      <c r="F30" s="73" t="s">
        <v>77</v>
      </c>
      <c r="G30" s="74">
        <v>0.78</v>
      </c>
      <c r="H30" s="118">
        <f>ROUND($E$2*G30*12,0)</f>
        <v>23878</v>
      </c>
    </row>
    <row r="31" spans="1:8" ht="15.75">
      <c r="A31" s="122"/>
      <c r="B31" s="123"/>
      <c r="C31" s="123"/>
      <c r="D31" s="123"/>
      <c r="E31" s="123"/>
      <c r="F31" s="124"/>
      <c r="G31" s="125"/>
      <c r="H31" s="126"/>
    </row>
    <row r="32" spans="1:5" ht="15.75" customHeight="1">
      <c r="A32" s="127"/>
      <c r="B32" s="237" t="s">
        <v>222</v>
      </c>
      <c r="C32" s="237"/>
      <c r="D32" s="237"/>
      <c r="E32" s="237"/>
    </row>
    <row r="33" spans="1:5" ht="15.75" customHeight="1">
      <c r="A33" s="127"/>
      <c r="B33" s="236" t="s">
        <v>223</v>
      </c>
      <c r="C33" s="236"/>
      <c r="D33" s="236"/>
      <c r="E33" s="236"/>
    </row>
    <row r="34" spans="1:5" ht="15.75" customHeight="1">
      <c r="A34" s="127"/>
      <c r="B34" s="236" t="s">
        <v>230</v>
      </c>
      <c r="C34" s="236"/>
      <c r="D34" s="236"/>
      <c r="E34" s="236"/>
    </row>
    <row r="35" ht="15.75">
      <c r="A35" t="s">
        <v>224</v>
      </c>
    </row>
    <row r="37" spans="2:8" ht="15.75">
      <c r="B37" s="37" t="s">
        <v>83</v>
      </c>
      <c r="E37" s="219" t="s">
        <v>229</v>
      </c>
      <c r="F37" s="219"/>
      <c r="G37" s="219"/>
      <c r="H37" s="219"/>
    </row>
  </sheetData>
  <mergeCells count="29">
    <mergeCell ref="B27:D27"/>
    <mergeCell ref="B33:E33"/>
    <mergeCell ref="B34:E34"/>
    <mergeCell ref="B28:E28"/>
    <mergeCell ref="B29:F29"/>
    <mergeCell ref="B30:D30"/>
    <mergeCell ref="B32:E32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E37:H37"/>
    <mergeCell ref="A1:H1"/>
    <mergeCell ref="B6:D6"/>
    <mergeCell ref="B7:F7"/>
    <mergeCell ref="B8:F8"/>
    <mergeCell ref="B9:F9"/>
    <mergeCell ref="B10:F10"/>
    <mergeCell ref="B12:D12"/>
    <mergeCell ref="B13:D13"/>
    <mergeCell ref="B14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E8" sqref="E8:E1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7.00390625" style="0" customWidth="1"/>
    <col min="6" max="6" width="17.75390625" style="0" hidden="1" customWidth="1"/>
    <col min="7" max="7" width="10.625" style="0" customWidth="1"/>
    <col min="8" max="8" width="13.25390625" style="0" customWidth="1"/>
  </cols>
  <sheetData>
    <row r="1" spans="4:8" ht="73.5" customHeight="1">
      <c r="D1" s="238" t="s">
        <v>236</v>
      </c>
      <c r="E1" s="238"/>
      <c r="F1" s="238"/>
      <c r="G1" s="238"/>
      <c r="H1" s="238"/>
    </row>
    <row r="2" spans="4:8" ht="15.75">
      <c r="D2" s="133"/>
      <c r="E2" s="133"/>
      <c r="F2" s="133"/>
      <c r="G2" s="133"/>
      <c r="H2" s="133"/>
    </row>
    <row r="3" spans="4:8" ht="15.75">
      <c r="D3" s="133"/>
      <c r="E3" s="133"/>
      <c r="F3" s="133"/>
      <c r="G3" s="133"/>
      <c r="H3" s="133"/>
    </row>
    <row r="4" spans="1:8" ht="17.25" customHeight="1">
      <c r="A4" s="191" t="s">
        <v>231</v>
      </c>
      <c r="B4" s="191"/>
      <c r="C4" s="191"/>
      <c r="D4" s="191"/>
      <c r="E4" s="191"/>
      <c r="F4" s="191"/>
      <c r="G4" s="191"/>
      <c r="H4" s="191"/>
    </row>
    <row r="5" spans="1:6" ht="18" customHeight="1">
      <c r="A5" s="131"/>
      <c r="B5" s="131"/>
      <c r="C5" s="131"/>
      <c r="D5" s="131"/>
      <c r="E5" s="131"/>
      <c r="F5" s="131"/>
    </row>
    <row r="6" spans="1:6" ht="19.5">
      <c r="A6" s="131"/>
      <c r="B6" s="236" t="s">
        <v>243</v>
      </c>
      <c r="C6" s="236"/>
      <c r="D6" s="236"/>
      <c r="E6" s="236"/>
      <c r="F6" s="131"/>
    </row>
    <row r="7" spans="1:6" ht="18" customHeight="1">
      <c r="A7" s="131"/>
      <c r="B7" s="132"/>
      <c r="C7" s="132"/>
      <c r="D7" s="132"/>
      <c r="E7" s="132"/>
      <c r="F7" s="131"/>
    </row>
    <row r="8" spans="1:6" ht="18.75">
      <c r="A8" t="s">
        <v>85</v>
      </c>
      <c r="B8" s="1" t="s">
        <v>84</v>
      </c>
      <c r="C8" s="2"/>
      <c r="D8" s="2" t="s">
        <v>0</v>
      </c>
      <c r="E8" s="29">
        <v>3918.6</v>
      </c>
      <c r="F8" s="2"/>
    </row>
    <row r="9" spans="2:6" ht="15.75">
      <c r="B9" s="3" t="s">
        <v>1</v>
      </c>
      <c r="C9" s="30">
        <v>5</v>
      </c>
      <c r="D9" s="2" t="s">
        <v>2</v>
      </c>
      <c r="E9" s="30" t="s">
        <v>244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63" t="s">
        <v>61</v>
      </c>
      <c r="B12" s="224" t="s">
        <v>145</v>
      </c>
      <c r="C12" s="225"/>
      <c r="D12" s="226"/>
      <c r="E12" s="64" t="s">
        <v>6</v>
      </c>
      <c r="F12" s="64" t="s">
        <v>7</v>
      </c>
      <c r="G12" s="138" t="s">
        <v>241</v>
      </c>
      <c r="H12" s="139" t="s">
        <v>242</v>
      </c>
    </row>
    <row r="13" spans="1:8" ht="25.5">
      <c r="A13" s="135">
        <v>1</v>
      </c>
      <c r="B13" s="212">
        <v>2</v>
      </c>
      <c r="C13" s="213"/>
      <c r="D13" s="241"/>
      <c r="E13" s="141">
        <v>3</v>
      </c>
      <c r="F13" s="136"/>
      <c r="G13" s="142">
        <v>4</v>
      </c>
      <c r="H13" s="143" t="s">
        <v>245</v>
      </c>
    </row>
    <row r="14" spans="1:8" ht="15.75" customHeight="1" hidden="1">
      <c r="A14" s="65">
        <v>1</v>
      </c>
      <c r="B14" s="227" t="s">
        <v>139</v>
      </c>
      <c r="C14" s="227"/>
      <c r="D14" s="227"/>
      <c r="E14" s="227"/>
      <c r="F14" s="227"/>
      <c r="G14" s="66"/>
      <c r="H14" s="113"/>
    </row>
    <row r="15" spans="1:8" ht="31.5" customHeight="1" hidden="1">
      <c r="A15" s="65"/>
      <c r="B15" s="188" t="s">
        <v>209</v>
      </c>
      <c r="C15" s="188"/>
      <c r="D15" s="188"/>
      <c r="E15" s="188"/>
      <c r="F15" s="188"/>
      <c r="G15" s="26">
        <f>G36</f>
        <v>10.740000000000002</v>
      </c>
      <c r="H15" s="113">
        <f>ROUND($E$8*G15*12,0)</f>
        <v>505029</v>
      </c>
    </row>
    <row r="16" spans="1:8" ht="15.75" customHeight="1" hidden="1">
      <c r="A16" s="65"/>
      <c r="B16" s="231" t="s">
        <v>140</v>
      </c>
      <c r="C16" s="231"/>
      <c r="D16" s="231"/>
      <c r="E16" s="231"/>
      <c r="F16" s="231"/>
      <c r="G16" s="25">
        <v>0.78</v>
      </c>
      <c r="H16" s="113">
        <f>ROUND($E$8*G16*12,0)</f>
        <v>36678</v>
      </c>
    </row>
    <row r="17" spans="1:8" ht="18.75" customHeight="1">
      <c r="A17" s="65" t="s">
        <v>92</v>
      </c>
      <c r="B17" s="169" t="s">
        <v>74</v>
      </c>
      <c r="C17" s="169"/>
      <c r="D17" s="169"/>
      <c r="E17" s="169"/>
      <c r="F17" s="169"/>
      <c r="G17" s="68"/>
      <c r="H17" s="113"/>
    </row>
    <row r="18" spans="1:8" ht="15.75">
      <c r="A18" s="65" t="s">
        <v>240</v>
      </c>
      <c r="B18" s="19" t="s">
        <v>75</v>
      </c>
      <c r="C18" s="19"/>
      <c r="D18" s="19"/>
      <c r="E18" s="19"/>
      <c r="F18" s="5"/>
      <c r="G18" s="78"/>
      <c r="H18" s="113"/>
    </row>
    <row r="19" spans="1:8" ht="31.5" customHeight="1">
      <c r="A19" s="114"/>
      <c r="B19" s="230" t="s">
        <v>210</v>
      </c>
      <c r="C19" s="230"/>
      <c r="D19" s="230"/>
      <c r="E19" s="87" t="s">
        <v>32</v>
      </c>
      <c r="F19" s="69" t="s">
        <v>24</v>
      </c>
      <c r="G19" s="70">
        <v>1.12</v>
      </c>
      <c r="H19" s="67">
        <f>ROUND($E$8*G19*4,0)</f>
        <v>17555</v>
      </c>
    </row>
    <row r="20" spans="1:8" ht="15.75">
      <c r="A20" s="114"/>
      <c r="B20" s="230" t="s">
        <v>17</v>
      </c>
      <c r="C20" s="230"/>
      <c r="D20" s="230"/>
      <c r="E20" s="87" t="s">
        <v>32</v>
      </c>
      <c r="F20" s="69" t="s">
        <v>19</v>
      </c>
      <c r="G20" s="70">
        <v>0.3</v>
      </c>
      <c r="H20" s="67">
        <f aca="true" t="shared" si="0" ref="H20:H37">ROUND($E$8*G20*4,0)</f>
        <v>4702</v>
      </c>
    </row>
    <row r="21" spans="1:8" ht="15.75" customHeight="1">
      <c r="A21" s="114"/>
      <c r="B21" s="228" t="s">
        <v>23</v>
      </c>
      <c r="C21" s="228"/>
      <c r="D21" s="228"/>
      <c r="E21" s="91" t="s">
        <v>157</v>
      </c>
      <c r="F21" s="71" t="s">
        <v>20</v>
      </c>
      <c r="G21" s="70">
        <v>0.41</v>
      </c>
      <c r="H21" s="67">
        <f t="shared" si="0"/>
        <v>6427</v>
      </c>
    </row>
    <row r="22" spans="1:8" ht="31.5">
      <c r="A22" s="114"/>
      <c r="B22" s="235" t="s">
        <v>31</v>
      </c>
      <c r="C22" s="235"/>
      <c r="D22" s="235"/>
      <c r="E22" s="93" t="s">
        <v>9</v>
      </c>
      <c r="F22" s="72" t="s">
        <v>10</v>
      </c>
      <c r="G22" s="70">
        <v>0.54</v>
      </c>
      <c r="H22" s="67">
        <f t="shared" si="0"/>
        <v>8464</v>
      </c>
    </row>
    <row r="23" spans="1:8" ht="51">
      <c r="A23" s="114"/>
      <c r="B23" s="228" t="s">
        <v>27</v>
      </c>
      <c r="C23" s="228"/>
      <c r="D23" s="228"/>
      <c r="E23" s="91" t="s">
        <v>158</v>
      </c>
      <c r="F23" s="71" t="s">
        <v>25</v>
      </c>
      <c r="G23" s="70">
        <v>0.13</v>
      </c>
      <c r="H23" s="67">
        <f t="shared" si="0"/>
        <v>2038</v>
      </c>
    </row>
    <row r="24" spans="1:8" ht="31.5" customHeight="1">
      <c r="A24" s="114"/>
      <c r="B24" s="228" t="s">
        <v>11</v>
      </c>
      <c r="C24" s="228"/>
      <c r="D24" s="228"/>
      <c r="E24" s="91" t="s">
        <v>9</v>
      </c>
      <c r="F24" s="71" t="s">
        <v>12</v>
      </c>
      <c r="G24" s="145">
        <v>0</v>
      </c>
      <c r="H24" s="67">
        <f t="shared" si="0"/>
        <v>0</v>
      </c>
    </row>
    <row r="25" spans="1:8" ht="15.75">
      <c r="A25" s="114"/>
      <c r="B25" s="228" t="s">
        <v>26</v>
      </c>
      <c r="C25" s="229"/>
      <c r="D25" s="229"/>
      <c r="E25" s="94" t="s">
        <v>13</v>
      </c>
      <c r="F25" s="68" t="s">
        <v>211</v>
      </c>
      <c r="G25" s="70">
        <v>0.05</v>
      </c>
      <c r="H25" s="67">
        <f t="shared" si="0"/>
        <v>784</v>
      </c>
    </row>
    <row r="26" spans="1:8" ht="51">
      <c r="A26" s="114"/>
      <c r="B26" s="228" t="s">
        <v>159</v>
      </c>
      <c r="C26" s="228"/>
      <c r="D26" s="228"/>
      <c r="E26" s="87" t="s">
        <v>246</v>
      </c>
      <c r="F26" s="71" t="s">
        <v>77</v>
      </c>
      <c r="G26" s="70">
        <v>1.63</v>
      </c>
      <c r="H26" s="67">
        <f t="shared" si="0"/>
        <v>25549</v>
      </c>
    </row>
    <row r="27" spans="1:8" ht="51">
      <c r="A27" s="114"/>
      <c r="B27" s="230" t="s">
        <v>15</v>
      </c>
      <c r="C27" s="230"/>
      <c r="D27" s="230"/>
      <c r="E27" s="87" t="s">
        <v>142</v>
      </c>
      <c r="F27" s="71" t="s">
        <v>77</v>
      </c>
      <c r="G27" s="145">
        <v>0</v>
      </c>
      <c r="H27" s="67">
        <f t="shared" si="0"/>
        <v>0</v>
      </c>
    </row>
    <row r="28" spans="1:8" ht="28.5" customHeight="1">
      <c r="A28" s="114"/>
      <c r="B28" s="228" t="s">
        <v>37</v>
      </c>
      <c r="C28" s="229"/>
      <c r="D28" s="229"/>
      <c r="E28" s="87" t="s">
        <v>36</v>
      </c>
      <c r="F28" s="71" t="s">
        <v>77</v>
      </c>
      <c r="G28" s="70">
        <f>4.32-G29-G30</f>
        <v>4.32</v>
      </c>
      <c r="H28" s="67">
        <f t="shared" si="0"/>
        <v>67713</v>
      </c>
    </row>
    <row r="29" spans="1:8" ht="15.75">
      <c r="A29" s="114"/>
      <c r="B29" s="228" t="s">
        <v>212</v>
      </c>
      <c r="C29" s="228"/>
      <c r="D29" s="228"/>
      <c r="E29" s="91" t="s">
        <v>9</v>
      </c>
      <c r="F29" s="71" t="s">
        <v>77</v>
      </c>
      <c r="G29" s="145">
        <v>0</v>
      </c>
      <c r="H29" s="67">
        <f t="shared" si="0"/>
        <v>0</v>
      </c>
    </row>
    <row r="30" spans="1:8" ht="15.75" customHeight="1">
      <c r="A30" s="114"/>
      <c r="B30" s="228" t="s">
        <v>162</v>
      </c>
      <c r="C30" s="228"/>
      <c r="D30" s="228"/>
      <c r="E30" s="91" t="s">
        <v>9</v>
      </c>
      <c r="F30" s="71" t="s">
        <v>77</v>
      </c>
      <c r="G30" s="145">
        <v>0</v>
      </c>
      <c r="H30" s="67">
        <f t="shared" si="0"/>
        <v>0</v>
      </c>
    </row>
    <row r="31" spans="1:8" ht="25.5">
      <c r="A31" s="114"/>
      <c r="B31" s="229" t="s">
        <v>21</v>
      </c>
      <c r="C31" s="229"/>
      <c r="D31" s="229"/>
      <c r="E31" s="87" t="s">
        <v>36</v>
      </c>
      <c r="F31" s="71" t="s">
        <v>77</v>
      </c>
      <c r="G31" s="70">
        <v>1.12</v>
      </c>
      <c r="H31" s="67">
        <f t="shared" si="0"/>
        <v>17555</v>
      </c>
    </row>
    <row r="32" spans="1:8" ht="15.75" hidden="1">
      <c r="A32" s="114"/>
      <c r="B32" s="206" t="s">
        <v>163</v>
      </c>
      <c r="C32" s="207"/>
      <c r="D32" s="208"/>
      <c r="E32" s="91" t="s">
        <v>9</v>
      </c>
      <c r="F32" s="71"/>
      <c r="G32" s="70"/>
      <c r="H32" s="67">
        <f t="shared" si="0"/>
        <v>0</v>
      </c>
    </row>
    <row r="33" spans="1:8" ht="25.5" hidden="1">
      <c r="A33" s="114"/>
      <c r="B33" s="206" t="s">
        <v>164</v>
      </c>
      <c r="C33" s="207"/>
      <c r="D33" s="208"/>
      <c r="E33" s="87" t="s">
        <v>36</v>
      </c>
      <c r="F33" s="71"/>
      <c r="G33" s="70"/>
      <c r="H33" s="67">
        <f t="shared" si="0"/>
        <v>0</v>
      </c>
    </row>
    <row r="34" spans="1:8" ht="15.75">
      <c r="A34" s="114"/>
      <c r="B34" s="232" t="s">
        <v>30</v>
      </c>
      <c r="C34" s="233"/>
      <c r="D34" s="234"/>
      <c r="E34" s="14"/>
      <c r="F34" s="71"/>
      <c r="G34" s="22">
        <f>SUM(G19:G33)</f>
        <v>9.620000000000001</v>
      </c>
      <c r="H34" s="67">
        <f t="shared" si="0"/>
        <v>150788</v>
      </c>
    </row>
    <row r="35" spans="1:8" ht="15.75">
      <c r="A35" s="65" t="s">
        <v>238</v>
      </c>
      <c r="B35" s="202" t="s">
        <v>38</v>
      </c>
      <c r="C35" s="203"/>
      <c r="D35" s="203"/>
      <c r="E35" s="91" t="s">
        <v>237</v>
      </c>
      <c r="F35" s="71" t="s">
        <v>77</v>
      </c>
      <c r="G35" s="26">
        <v>1.12</v>
      </c>
      <c r="H35" s="67">
        <f t="shared" si="0"/>
        <v>17555</v>
      </c>
    </row>
    <row r="36" spans="1:8" ht="15.75">
      <c r="A36" s="65" t="s">
        <v>239</v>
      </c>
      <c r="B36" s="220" t="s">
        <v>214</v>
      </c>
      <c r="C36" s="220"/>
      <c r="D36" s="220"/>
      <c r="E36" s="220"/>
      <c r="F36" s="220"/>
      <c r="G36" s="22">
        <f>SUM(G34:G35)</f>
        <v>10.740000000000002</v>
      </c>
      <c r="H36" s="67">
        <f t="shared" si="0"/>
        <v>168343</v>
      </c>
    </row>
    <row r="37" spans="1:8" ht="16.5" thickBot="1">
      <c r="A37" s="116" t="s">
        <v>95</v>
      </c>
      <c r="B37" s="221" t="s">
        <v>221</v>
      </c>
      <c r="C37" s="222"/>
      <c r="D37" s="223"/>
      <c r="E37" s="137" t="s">
        <v>237</v>
      </c>
      <c r="F37" s="73" t="s">
        <v>77</v>
      </c>
      <c r="G37" s="144">
        <v>0.8</v>
      </c>
      <c r="H37" s="140">
        <f t="shared" si="0"/>
        <v>12540</v>
      </c>
    </row>
    <row r="38" spans="1:7" ht="15.75">
      <c r="A38" s="122"/>
      <c r="B38" s="239" t="s">
        <v>232</v>
      </c>
      <c r="C38" s="239"/>
      <c r="D38" s="239"/>
      <c r="E38" s="239"/>
      <c r="F38" s="134"/>
      <c r="G38" s="125"/>
    </row>
    <row r="39" spans="2:5" ht="15.75" hidden="1">
      <c r="B39" s="240" t="s">
        <v>222</v>
      </c>
      <c r="C39" s="240"/>
      <c r="D39" s="240"/>
      <c r="E39" s="240"/>
    </row>
    <row r="40" spans="2:5" ht="15.75" hidden="1">
      <c r="B40" s="236" t="s">
        <v>223</v>
      </c>
      <c r="C40" s="236"/>
      <c r="D40" s="236"/>
      <c r="E40" s="236"/>
    </row>
    <row r="41" spans="2:5" ht="15.75" hidden="1">
      <c r="B41" s="236" t="s">
        <v>230</v>
      </c>
      <c r="C41" s="236"/>
      <c r="D41" s="236"/>
      <c r="E41" s="236"/>
    </row>
    <row r="42" spans="2:5" ht="15.75">
      <c r="B42" s="132"/>
      <c r="C42" s="132"/>
      <c r="D42" s="132"/>
      <c r="E42" s="132"/>
    </row>
    <row r="43" spans="2:7" ht="15.75">
      <c r="B43" s="37" t="s">
        <v>170</v>
      </c>
      <c r="C43" s="37"/>
      <c r="D43" s="37"/>
      <c r="E43" s="37" t="s">
        <v>233</v>
      </c>
      <c r="F43" s="37"/>
      <c r="G43" s="37"/>
    </row>
    <row r="45" spans="2:5" ht="15.75">
      <c r="B45" s="37" t="s">
        <v>234</v>
      </c>
      <c r="C45" s="37"/>
      <c r="D45" s="37"/>
      <c r="E45" t="s">
        <v>235</v>
      </c>
    </row>
  </sheetData>
  <mergeCells count="32">
    <mergeCell ref="B35:D35"/>
    <mergeCell ref="B12:D12"/>
    <mergeCell ref="B14:F14"/>
    <mergeCell ref="B15:F15"/>
    <mergeCell ref="B13:D13"/>
    <mergeCell ref="B16:F16"/>
    <mergeCell ref="B17:F17"/>
    <mergeCell ref="B19:D19"/>
    <mergeCell ref="B20:D20"/>
    <mergeCell ref="B21:D21"/>
    <mergeCell ref="B22:D22"/>
    <mergeCell ref="B23:D23"/>
    <mergeCell ref="B24:D24"/>
    <mergeCell ref="B31:D31"/>
    <mergeCell ref="B25:D25"/>
    <mergeCell ref="B26:D26"/>
    <mergeCell ref="B27:D27"/>
    <mergeCell ref="B28:D28"/>
    <mergeCell ref="B39:E39"/>
    <mergeCell ref="B40:E40"/>
    <mergeCell ref="B41:E41"/>
    <mergeCell ref="B37:D37"/>
    <mergeCell ref="D1:H1"/>
    <mergeCell ref="A4:H4"/>
    <mergeCell ref="B6:E6"/>
    <mergeCell ref="B38:E38"/>
    <mergeCell ref="B33:D33"/>
    <mergeCell ref="B34:D34"/>
    <mergeCell ref="B36:F36"/>
    <mergeCell ref="B29:D29"/>
    <mergeCell ref="B30:D30"/>
    <mergeCell ref="B32:D3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34">
      <selection activeCell="A1" sqref="A1:K46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4.25390625" style="0" customWidth="1"/>
    <col min="4" max="4" width="20.25390625" style="0" customWidth="1"/>
    <col min="5" max="5" width="23.375" style="0" customWidth="1"/>
    <col min="6" max="6" width="22.50390625" style="0" hidden="1" customWidth="1"/>
    <col min="7" max="7" width="9.37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3.50390625" style="0" customWidth="1"/>
    <col min="12" max="12" width="11.875" style="0" hidden="1" customWidth="1"/>
    <col min="13" max="13" width="8.75390625" style="0" hidden="1" customWidth="1"/>
  </cols>
  <sheetData>
    <row r="1" spans="1:11" ht="89.25" customHeight="1">
      <c r="A1" s="191" t="s">
        <v>261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65.25" customHeight="1">
      <c r="A2" s="218" t="s">
        <v>256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2:10" ht="36" customHeight="1">
      <c r="B3" s="1" t="s">
        <v>257</v>
      </c>
      <c r="C3" s="2"/>
      <c r="D3" s="146" t="s">
        <v>247</v>
      </c>
      <c r="E3" s="29">
        <v>3918.6</v>
      </c>
      <c r="F3" s="4"/>
      <c r="G3" s="2"/>
      <c r="J3" s="119"/>
    </row>
    <row r="4" spans="2:7" ht="15.75">
      <c r="B4" s="3" t="s">
        <v>1</v>
      </c>
      <c r="C4" s="30">
        <v>5</v>
      </c>
      <c r="D4" s="2" t="s">
        <v>2</v>
      </c>
      <c r="E4" s="30">
        <v>64</v>
      </c>
      <c r="F4" s="4"/>
      <c r="G4" s="2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s="2"/>
    </row>
    <row r="7" spans="1:13" ht="78.75">
      <c r="A7" s="24" t="s">
        <v>61</v>
      </c>
      <c r="B7" s="212" t="s">
        <v>145</v>
      </c>
      <c r="C7" s="213"/>
      <c r="D7" s="214"/>
      <c r="E7" s="11" t="s">
        <v>6</v>
      </c>
      <c r="F7" s="11" t="s">
        <v>7</v>
      </c>
      <c r="G7" s="76" t="s">
        <v>248</v>
      </c>
      <c r="H7" s="147" t="s">
        <v>258</v>
      </c>
      <c r="I7" s="215" t="s">
        <v>259</v>
      </c>
      <c r="J7" s="216"/>
      <c r="K7" s="217"/>
      <c r="L7" s="43">
        <v>8</v>
      </c>
      <c r="M7" s="148" t="s">
        <v>249</v>
      </c>
    </row>
    <row r="8" spans="1:11" ht="15.75" customHeight="1">
      <c r="A8" s="25">
        <v>1</v>
      </c>
      <c r="B8" s="193"/>
      <c r="C8" s="194"/>
      <c r="D8" s="194"/>
      <c r="E8" s="194"/>
      <c r="F8" s="195"/>
      <c r="G8" s="149"/>
      <c r="H8" s="149"/>
      <c r="I8" s="150" t="s">
        <v>147</v>
      </c>
      <c r="J8" s="79" t="s">
        <v>148</v>
      </c>
      <c r="K8" s="79" t="s">
        <v>149</v>
      </c>
    </row>
    <row r="9" spans="1:11" ht="15.75" customHeight="1">
      <c r="A9" s="25"/>
      <c r="B9" s="193" t="s">
        <v>150</v>
      </c>
      <c r="C9" s="194"/>
      <c r="D9" s="194"/>
      <c r="E9" s="194"/>
      <c r="F9" s="195"/>
      <c r="G9" s="44"/>
      <c r="H9" s="44"/>
      <c r="I9" s="44"/>
      <c r="J9" s="44"/>
      <c r="K9" s="79"/>
    </row>
    <row r="10" spans="1:11" ht="29.25" customHeight="1">
      <c r="A10" s="80"/>
      <c r="B10" s="170" t="s">
        <v>151</v>
      </c>
      <c r="C10" s="170"/>
      <c r="D10" s="170"/>
      <c r="E10" s="170"/>
      <c r="F10" s="170"/>
      <c r="G10" s="15"/>
      <c r="H10" s="15"/>
      <c r="I10" s="34">
        <v>200722.53</v>
      </c>
      <c r="J10" s="66"/>
      <c r="K10" s="81">
        <f>I10+J10</f>
        <v>200722.53</v>
      </c>
    </row>
    <row r="11" spans="1:11" ht="15.75" customHeight="1">
      <c r="A11" s="80"/>
      <c r="B11" s="170" t="s">
        <v>152</v>
      </c>
      <c r="C11" s="170"/>
      <c r="D11" s="170"/>
      <c r="E11" s="170"/>
      <c r="F11" s="170"/>
      <c r="G11" s="15"/>
      <c r="H11" s="15"/>
      <c r="I11" s="16">
        <v>13924.88</v>
      </c>
      <c r="J11" s="66"/>
      <c r="K11" s="81">
        <f>I11+J11</f>
        <v>13924.88</v>
      </c>
    </row>
    <row r="12" spans="1:11" ht="15.75" customHeight="1">
      <c r="A12" s="25"/>
      <c r="B12" s="170" t="s">
        <v>153</v>
      </c>
      <c r="C12" s="170"/>
      <c r="D12" s="170"/>
      <c r="E12" s="170"/>
      <c r="F12" s="170"/>
      <c r="G12" s="15"/>
      <c r="H12" s="15"/>
      <c r="I12" s="34"/>
      <c r="J12" s="66">
        <v>63275.68</v>
      </c>
      <c r="K12" s="81">
        <f>I12+J12</f>
        <v>63275.68</v>
      </c>
    </row>
    <row r="13" spans="1:11" ht="15.75" customHeight="1">
      <c r="A13" s="25"/>
      <c r="B13" s="170" t="s">
        <v>154</v>
      </c>
      <c r="C13" s="170"/>
      <c r="D13" s="170"/>
      <c r="E13" s="170"/>
      <c r="F13" s="170"/>
      <c r="G13" s="15"/>
      <c r="H13" s="15"/>
      <c r="I13" s="34">
        <v>0</v>
      </c>
      <c r="J13" s="82">
        <v>0</v>
      </c>
      <c r="K13" s="81">
        <f>I13+J13</f>
        <v>0</v>
      </c>
    </row>
    <row r="14" spans="1:11" ht="15.75" customHeight="1">
      <c r="A14" s="25"/>
      <c r="B14" s="188" t="s">
        <v>155</v>
      </c>
      <c r="C14" s="188"/>
      <c r="D14" s="188"/>
      <c r="E14" s="188"/>
      <c r="F14" s="188"/>
      <c r="G14" s="15"/>
      <c r="H14" s="15"/>
      <c r="I14" s="83">
        <f>SUM(I10:I12)</f>
        <v>214647.41</v>
      </c>
      <c r="J14" s="84">
        <f>SUM(J10:J12)</f>
        <v>63275.68</v>
      </c>
      <c r="K14" s="83">
        <f>SUM(K10:K13)</f>
        <v>277923.09</v>
      </c>
    </row>
    <row r="15" spans="1:11" ht="15.75" customHeight="1">
      <c r="A15" s="25">
        <v>2</v>
      </c>
      <c r="B15" s="245" t="s">
        <v>74</v>
      </c>
      <c r="C15" s="245"/>
      <c r="D15" s="245"/>
      <c r="E15" s="245"/>
      <c r="F15" s="245"/>
      <c r="G15" s="15"/>
      <c r="H15" s="15"/>
      <c r="I15" s="34"/>
      <c r="J15" s="66"/>
      <c r="K15" s="48"/>
    </row>
    <row r="16" spans="1:11" ht="18.75" customHeight="1">
      <c r="A16" s="25" t="s">
        <v>141</v>
      </c>
      <c r="B16" s="151" t="s">
        <v>75</v>
      </c>
      <c r="C16" s="151"/>
      <c r="D16" s="151"/>
      <c r="E16" s="151"/>
      <c r="F16" s="152"/>
      <c r="G16" s="150"/>
      <c r="H16" s="150"/>
      <c r="I16" s="150"/>
      <c r="J16" s="75"/>
      <c r="K16" s="79"/>
    </row>
    <row r="17" spans="1:11" ht="29.25" customHeight="1">
      <c r="A17" s="86"/>
      <c r="B17" s="211" t="s">
        <v>250</v>
      </c>
      <c r="C17" s="211"/>
      <c r="D17" s="211"/>
      <c r="E17" s="153" t="s">
        <v>32</v>
      </c>
      <c r="F17" s="69" t="s">
        <v>24</v>
      </c>
      <c r="G17" s="70">
        <v>1.06</v>
      </c>
      <c r="H17" s="70">
        <v>1.12</v>
      </c>
      <c r="I17" s="88">
        <f>ROUND($E$3*G17*6,2)+ROUND($E$3*H17*($L$7-6),2)</f>
        <v>33699.96</v>
      </c>
      <c r="J17" s="89"/>
      <c r="K17" s="90">
        <f>SUM(I17:J17)</f>
        <v>33699.96</v>
      </c>
    </row>
    <row r="18" spans="1:11" ht="15.75" customHeight="1">
      <c r="A18" s="25"/>
      <c r="B18" s="209" t="s">
        <v>17</v>
      </c>
      <c r="C18" s="209"/>
      <c r="D18" s="209"/>
      <c r="E18" s="153" t="s">
        <v>32</v>
      </c>
      <c r="F18" s="69" t="s">
        <v>19</v>
      </c>
      <c r="G18" s="70">
        <v>0.28</v>
      </c>
      <c r="H18" s="70">
        <v>0.3</v>
      </c>
      <c r="I18" s="88">
        <f>ROUND($E$3*G18*6,2)+ROUND($E$3*H18*($L$7-6),2)</f>
        <v>8934.41</v>
      </c>
      <c r="J18" s="89"/>
      <c r="K18" s="90">
        <f>SUM(I18:J18)</f>
        <v>8934.41</v>
      </c>
    </row>
    <row r="19" spans="1:11" ht="15.75" customHeight="1">
      <c r="A19" s="25"/>
      <c r="B19" s="210" t="s">
        <v>23</v>
      </c>
      <c r="C19" s="210"/>
      <c r="D19" s="210"/>
      <c r="E19" s="154" t="s">
        <v>157</v>
      </c>
      <c r="F19" s="71" t="s">
        <v>20</v>
      </c>
      <c r="G19" s="70">
        <v>0.39</v>
      </c>
      <c r="H19" s="70">
        <v>0.41</v>
      </c>
      <c r="I19" s="88">
        <f>K19-J19</f>
        <v>6897.14</v>
      </c>
      <c r="J19" s="89"/>
      <c r="K19" s="92">
        <v>6897.14</v>
      </c>
    </row>
    <row r="20" spans="1:11" ht="15.75" customHeight="1">
      <c r="A20" s="86"/>
      <c r="B20" s="211" t="s">
        <v>31</v>
      </c>
      <c r="C20" s="211"/>
      <c r="D20" s="211"/>
      <c r="E20" s="155" t="s">
        <v>9</v>
      </c>
      <c r="F20" s="72" t="s">
        <v>10</v>
      </c>
      <c r="G20" s="70">
        <v>0.51</v>
      </c>
      <c r="H20" s="70">
        <v>0.54</v>
      </c>
      <c r="I20" s="88">
        <f>ROUND($E$3*G20*6,2)+ROUND($E$3*H20*($L$7-6),2)</f>
        <v>16223.01</v>
      </c>
      <c r="J20" s="89"/>
      <c r="K20" s="90">
        <f>SUM(I20:J20)</f>
        <v>16223.01</v>
      </c>
    </row>
    <row r="21" spans="1:11" ht="38.25">
      <c r="A21" s="25"/>
      <c r="B21" s="210" t="s">
        <v>27</v>
      </c>
      <c r="C21" s="210"/>
      <c r="D21" s="210"/>
      <c r="E21" s="154" t="s">
        <v>158</v>
      </c>
      <c r="F21" s="71" t="s">
        <v>25</v>
      </c>
      <c r="G21" s="70">
        <v>0.12</v>
      </c>
      <c r="H21" s="70">
        <v>0.13</v>
      </c>
      <c r="I21" s="88">
        <f>K21-J21</f>
        <v>1312</v>
      </c>
      <c r="J21" s="89"/>
      <c r="K21" s="92">
        <v>1312</v>
      </c>
    </row>
    <row r="22" spans="1:11" ht="27.75" customHeight="1">
      <c r="A22" s="86"/>
      <c r="B22" s="210" t="s">
        <v>11</v>
      </c>
      <c r="C22" s="210"/>
      <c r="D22" s="210"/>
      <c r="E22" s="154" t="s">
        <v>9</v>
      </c>
      <c r="F22" s="71" t="s">
        <v>12</v>
      </c>
      <c r="G22" s="70">
        <v>0</v>
      </c>
      <c r="H22" s="70">
        <v>0</v>
      </c>
      <c r="I22" s="88">
        <f>ROUND($E$3*G22*6,2)+ROUND($E$3*H22*($L$7-6),2)</f>
        <v>0</v>
      </c>
      <c r="J22" s="89"/>
      <c r="K22" s="90">
        <f>SUM(I22:J22)</f>
        <v>0</v>
      </c>
    </row>
    <row r="23" spans="1:11" ht="15.75" customHeight="1">
      <c r="A23" s="86"/>
      <c r="B23" s="210" t="s">
        <v>26</v>
      </c>
      <c r="C23" s="205"/>
      <c r="D23" s="205"/>
      <c r="E23" s="156" t="s">
        <v>13</v>
      </c>
      <c r="F23" s="68" t="s">
        <v>14</v>
      </c>
      <c r="G23" s="70">
        <v>0.05</v>
      </c>
      <c r="H23" s="70">
        <v>0.05</v>
      </c>
      <c r="I23" s="88">
        <f>K23-J23</f>
        <v>0</v>
      </c>
      <c r="J23" s="89"/>
      <c r="K23" s="92">
        <v>0</v>
      </c>
    </row>
    <row r="24" spans="1:11" ht="54" customHeight="1">
      <c r="A24" s="25"/>
      <c r="B24" s="210" t="s">
        <v>159</v>
      </c>
      <c r="C24" s="210"/>
      <c r="D24" s="210"/>
      <c r="E24" s="87" t="s">
        <v>251</v>
      </c>
      <c r="F24" s="95" t="s">
        <v>77</v>
      </c>
      <c r="G24" s="70">
        <v>2.15</v>
      </c>
      <c r="H24" s="70">
        <v>2.28</v>
      </c>
      <c r="I24" s="88">
        <f aca="true" t="shared" si="0" ref="I24:I29">ROUND($E$3*G24*6,2)+ROUND($E$3*H24*($L$7-6),2)</f>
        <v>68418.76000000001</v>
      </c>
      <c r="J24" s="89"/>
      <c r="K24" s="90">
        <f aca="true" t="shared" si="1" ref="K24:K29">SUM(I24:J24)</f>
        <v>68418.76000000001</v>
      </c>
    </row>
    <row r="25" spans="1:11" ht="41.25" customHeight="1">
      <c r="A25" s="25"/>
      <c r="B25" s="209" t="s">
        <v>15</v>
      </c>
      <c r="C25" s="209"/>
      <c r="D25" s="209"/>
      <c r="E25" s="87" t="s">
        <v>142</v>
      </c>
      <c r="F25" s="95" t="s">
        <v>77</v>
      </c>
      <c r="G25" s="70">
        <v>0</v>
      </c>
      <c r="H25" s="70">
        <v>0</v>
      </c>
      <c r="I25" s="88">
        <f t="shared" si="0"/>
        <v>0</v>
      </c>
      <c r="J25" s="89"/>
      <c r="K25" s="90">
        <f t="shared" si="1"/>
        <v>0</v>
      </c>
    </row>
    <row r="26" spans="1:11" ht="31.5" customHeight="1">
      <c r="A26" s="25"/>
      <c r="B26" s="182" t="s">
        <v>37</v>
      </c>
      <c r="C26" s="207"/>
      <c r="D26" s="208"/>
      <c r="E26" s="153" t="s">
        <v>36</v>
      </c>
      <c r="F26" s="95" t="s">
        <v>77</v>
      </c>
      <c r="G26" s="97">
        <f>3.46-G27-G28</f>
        <v>3.46</v>
      </c>
      <c r="H26" s="70">
        <f>3.67-H27-H28</f>
        <v>3.67</v>
      </c>
      <c r="I26" s="88">
        <f t="shared" si="0"/>
        <v>110112.66</v>
      </c>
      <c r="J26" s="98"/>
      <c r="K26" s="90">
        <f t="shared" si="1"/>
        <v>110112.66</v>
      </c>
    </row>
    <row r="27" spans="1:14" ht="17.25" customHeight="1">
      <c r="A27" s="86"/>
      <c r="B27" s="210" t="s">
        <v>161</v>
      </c>
      <c r="C27" s="210"/>
      <c r="D27" s="210"/>
      <c r="E27" s="154" t="s">
        <v>9</v>
      </c>
      <c r="F27" s="95" t="s">
        <v>77</v>
      </c>
      <c r="G27" s="97">
        <v>0</v>
      </c>
      <c r="H27" s="70">
        <v>0</v>
      </c>
      <c r="I27" s="88">
        <f t="shared" si="0"/>
        <v>0</v>
      </c>
      <c r="J27" s="98"/>
      <c r="K27" s="90">
        <f t="shared" si="1"/>
        <v>0</v>
      </c>
      <c r="N27" t="s">
        <v>252</v>
      </c>
    </row>
    <row r="28" spans="1:11" ht="15.75">
      <c r="A28" s="25"/>
      <c r="B28" s="210" t="s">
        <v>162</v>
      </c>
      <c r="C28" s="210"/>
      <c r="D28" s="210"/>
      <c r="E28" s="154" t="s">
        <v>9</v>
      </c>
      <c r="F28" s="95" t="s">
        <v>77</v>
      </c>
      <c r="G28" s="97">
        <v>0</v>
      </c>
      <c r="H28" s="70">
        <v>0</v>
      </c>
      <c r="I28" s="88">
        <f t="shared" si="0"/>
        <v>0</v>
      </c>
      <c r="J28" s="98"/>
      <c r="K28" s="90">
        <f t="shared" si="1"/>
        <v>0</v>
      </c>
    </row>
    <row r="29" spans="1:11" ht="25.5">
      <c r="A29" s="25"/>
      <c r="B29" s="205" t="s">
        <v>21</v>
      </c>
      <c r="C29" s="205"/>
      <c r="D29" s="205"/>
      <c r="E29" s="91" t="s">
        <v>36</v>
      </c>
      <c r="F29" s="95" t="s">
        <v>77</v>
      </c>
      <c r="G29" s="68">
        <v>1.06</v>
      </c>
      <c r="H29" s="70">
        <v>1.12</v>
      </c>
      <c r="I29" s="88">
        <f t="shared" si="0"/>
        <v>33699.96</v>
      </c>
      <c r="J29" s="89"/>
      <c r="K29" s="90">
        <f t="shared" si="1"/>
        <v>33699.96</v>
      </c>
    </row>
    <row r="30" spans="1:11" ht="15.75" customHeight="1">
      <c r="A30" s="25"/>
      <c r="B30" s="199"/>
      <c r="C30" s="200"/>
      <c r="D30" s="201"/>
      <c r="E30" s="154"/>
      <c r="F30" s="95"/>
      <c r="G30" s="68"/>
      <c r="H30" s="68"/>
      <c r="I30" s="96"/>
      <c r="J30" s="82"/>
      <c r="K30" s="99"/>
    </row>
    <row r="31" spans="1:11" ht="15.75">
      <c r="A31" s="25"/>
      <c r="B31" s="244" t="s">
        <v>30</v>
      </c>
      <c r="C31" s="244"/>
      <c r="D31" s="244"/>
      <c r="E31" s="25"/>
      <c r="F31" s="95"/>
      <c r="G31" s="26">
        <f>SUM(G17:G29)</f>
        <v>9.08</v>
      </c>
      <c r="H31" s="26">
        <f>SUM(H17:H29)</f>
        <v>9.620000000000001</v>
      </c>
      <c r="I31" s="108">
        <f>SUM(I17:I30)</f>
        <v>279297.9</v>
      </c>
      <c r="J31" s="84"/>
      <c r="K31" s="108">
        <f>SUM(K17:K30)</f>
        <v>279297.9</v>
      </c>
    </row>
    <row r="32" spans="1:11" ht="16.5" customHeight="1" hidden="1">
      <c r="A32" s="25"/>
      <c r="B32" s="206" t="s">
        <v>163</v>
      </c>
      <c r="C32" s="207"/>
      <c r="D32" s="208"/>
      <c r="E32" s="154" t="s">
        <v>9</v>
      </c>
      <c r="F32" s="95"/>
      <c r="G32" s="68"/>
      <c r="H32" s="68"/>
      <c r="I32" s="96"/>
      <c r="J32" s="82"/>
      <c r="K32" s="99"/>
    </row>
    <row r="33" spans="1:11" ht="25.5" hidden="1">
      <c r="A33" s="25"/>
      <c r="B33" s="206" t="s">
        <v>164</v>
      </c>
      <c r="C33" s="207"/>
      <c r="D33" s="208"/>
      <c r="E33" s="153" t="s">
        <v>36</v>
      </c>
      <c r="F33" s="95"/>
      <c r="G33" s="68"/>
      <c r="H33" s="68"/>
      <c r="I33" s="96"/>
      <c r="J33" s="82"/>
      <c r="K33" s="99"/>
    </row>
    <row r="34" spans="1:11" ht="15.75">
      <c r="A34" s="25"/>
      <c r="B34" s="199"/>
      <c r="C34" s="200"/>
      <c r="D34" s="201"/>
      <c r="E34" s="154"/>
      <c r="F34" s="95"/>
      <c r="G34" s="68"/>
      <c r="H34" s="68"/>
      <c r="I34" s="96"/>
      <c r="J34" s="82"/>
      <c r="K34" s="99"/>
    </row>
    <row r="35" spans="1:11" ht="16.5" customHeight="1">
      <c r="A35" s="25" t="s">
        <v>165</v>
      </c>
      <c r="B35" s="202" t="s">
        <v>166</v>
      </c>
      <c r="C35" s="203"/>
      <c r="D35" s="203"/>
      <c r="E35" s="204"/>
      <c r="F35" s="95" t="s">
        <v>77</v>
      </c>
      <c r="G35" s="26">
        <f>I35/E3/6</f>
        <v>1.2059153779411014</v>
      </c>
      <c r="H35" s="26">
        <f>I35/E3/2</f>
        <v>3.6177461338233043</v>
      </c>
      <c r="I35" s="157">
        <v>28353</v>
      </c>
      <c r="J35" s="103"/>
      <c r="K35" s="108">
        <f>SUM(I35+J35)</f>
        <v>28353</v>
      </c>
    </row>
    <row r="36" spans="1:14" ht="15.75" customHeight="1">
      <c r="A36" s="28"/>
      <c r="B36" s="196" t="s">
        <v>76</v>
      </c>
      <c r="C36" s="196"/>
      <c r="D36" s="196"/>
      <c r="E36" s="196"/>
      <c r="F36" s="196"/>
      <c r="G36" s="26">
        <f>SUM(G31:G35)</f>
        <v>10.285915377941102</v>
      </c>
      <c r="H36" s="26">
        <f>SUM(H31:H35)</f>
        <v>13.237746133823306</v>
      </c>
      <c r="I36" s="158">
        <f>SUM(I31:I35)</f>
        <v>307650.9</v>
      </c>
      <c r="J36" s="159"/>
      <c r="K36" s="159">
        <f>SUM(K31:K35)</f>
        <v>307650.9</v>
      </c>
      <c r="N36" t="s">
        <v>252</v>
      </c>
    </row>
    <row r="37" spans="1:11" ht="15.75" customHeight="1">
      <c r="A37" s="25" t="s">
        <v>143</v>
      </c>
      <c r="B37" s="196" t="s">
        <v>167</v>
      </c>
      <c r="C37" s="196"/>
      <c r="D37" s="196"/>
      <c r="E37" s="196"/>
      <c r="F37" s="196"/>
      <c r="G37" s="26"/>
      <c r="H37" s="26"/>
      <c r="I37" s="106">
        <v>0</v>
      </c>
      <c r="J37" s="106"/>
      <c r="K37" s="160">
        <f>SUM(I37:J37)</f>
        <v>0</v>
      </c>
    </row>
    <row r="38" spans="1:11" ht="15.75" customHeight="1">
      <c r="A38" s="28"/>
      <c r="B38" s="196" t="s">
        <v>168</v>
      </c>
      <c r="C38" s="196"/>
      <c r="D38" s="196"/>
      <c r="E38" s="196"/>
      <c r="F38" s="196"/>
      <c r="G38" s="26">
        <f>SUM(G36:G37)</f>
        <v>10.285915377941102</v>
      </c>
      <c r="H38" s="26">
        <f>SUM(H36:H37)</f>
        <v>13.237746133823306</v>
      </c>
      <c r="I38" s="158">
        <f>SUM(I36:I37)</f>
        <v>307650.9</v>
      </c>
      <c r="J38" s="159"/>
      <c r="K38" s="159">
        <f>SUM(K36:K37)</f>
        <v>307650.9</v>
      </c>
    </row>
    <row r="39" spans="1:11" ht="30" customHeight="1">
      <c r="A39" s="25">
        <v>3</v>
      </c>
      <c r="B39" s="242" t="s">
        <v>260</v>
      </c>
      <c r="C39" s="242"/>
      <c r="D39" s="242"/>
      <c r="E39" s="242"/>
      <c r="F39" s="161"/>
      <c r="G39" s="161"/>
      <c r="H39" s="162"/>
      <c r="I39" s="88">
        <f>I14-I38</f>
        <v>-93003.49000000002</v>
      </c>
      <c r="J39" s="88"/>
      <c r="K39" s="84">
        <f>K14-K38</f>
        <v>-29727.809999999998</v>
      </c>
    </row>
    <row r="40" spans="2:11" ht="15" customHeight="1">
      <c r="B40" s="122"/>
      <c r="C40" s="163"/>
      <c r="D40" s="163"/>
      <c r="E40" s="163"/>
      <c r="F40" s="163"/>
      <c r="G40" s="163"/>
      <c r="H40" s="163"/>
      <c r="I40" s="164"/>
      <c r="J40" s="165"/>
      <c r="K40" s="166"/>
    </row>
    <row r="41" spans="3:7" ht="15.75" customHeight="1">
      <c r="C41" s="37"/>
      <c r="G41" s="37"/>
    </row>
    <row r="42" spans="1:7" ht="15.75">
      <c r="A42" s="61" t="s">
        <v>253</v>
      </c>
      <c r="D42" s="61"/>
      <c r="E42" s="61"/>
      <c r="F42" s="37"/>
      <c r="G42" s="37"/>
    </row>
    <row r="43" spans="1:5" ht="15.75">
      <c r="A43" s="61"/>
      <c r="D43" s="61"/>
      <c r="E43" s="61"/>
    </row>
    <row r="44" spans="1:6" ht="15.75">
      <c r="A44" s="109" t="s">
        <v>254</v>
      </c>
      <c r="D44" s="109"/>
      <c r="E44" s="243" t="s">
        <v>255</v>
      </c>
      <c r="F44" s="243"/>
    </row>
    <row r="45" spans="1:5" ht="15.75" customHeight="1">
      <c r="A45" s="109" t="s">
        <v>173</v>
      </c>
      <c r="D45" s="167"/>
      <c r="E45" s="167"/>
    </row>
    <row r="46" ht="15.75">
      <c r="A46" s="109" t="s">
        <v>266</v>
      </c>
    </row>
  </sheetData>
  <mergeCells count="36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37:F37"/>
    <mergeCell ref="B38:F38"/>
    <mergeCell ref="B39:E39"/>
    <mergeCell ref="E44:F44"/>
  </mergeCells>
  <printOptions/>
  <pageMargins left="0.59" right="0.1968503937007874" top="0" bottom="0" header="0.5118110236220472" footer="0.5118110236220472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G25" sqref="G25"/>
    </sheetView>
  </sheetViews>
  <sheetFormatPr defaultColWidth="9.00390625" defaultRowHeight="15.75"/>
  <cols>
    <col min="1" max="1" width="11.875" style="0" customWidth="1"/>
    <col min="2" max="2" width="13.375" style="0" customWidth="1"/>
    <col min="3" max="3" width="12.50390625" style="0" customWidth="1"/>
    <col min="4" max="4" width="10.50390625" style="0" customWidth="1"/>
    <col min="5" max="5" width="12.125" style="0" customWidth="1"/>
    <col min="6" max="6" width="13.00390625" style="0" customWidth="1"/>
    <col min="7" max="7" width="10.375" style="0" customWidth="1"/>
    <col min="8" max="8" width="12.625" style="0" customWidth="1"/>
    <col min="9" max="9" width="11.625" style="0" customWidth="1"/>
    <col min="10" max="10" width="11.125" style="0" customWidth="1"/>
    <col min="11" max="11" width="9.875" style="0" customWidth="1"/>
    <col min="12" max="12" width="11.875" style="0" customWidth="1"/>
    <col min="13" max="13" width="12.75390625" style="0" customWidth="1"/>
    <col min="14" max="14" width="11.00390625" style="0" customWidth="1"/>
    <col min="15" max="15" width="12.375" style="0" customWidth="1"/>
    <col min="16" max="16" width="10.875" style="0" customWidth="1"/>
    <col min="17" max="17" width="9.875" style="0" bestFit="1" customWidth="1"/>
    <col min="18" max="18" width="12.25390625" style="0" customWidth="1"/>
    <col min="19" max="19" width="11.875" style="0" customWidth="1"/>
  </cols>
  <sheetData>
    <row r="1" spans="1:19" ht="94.5" customHeight="1">
      <c r="A1" s="251" t="s">
        <v>218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5.75" customHeight="1">
      <c r="A2" s="227" t="s">
        <v>177</v>
      </c>
      <c r="B2" s="244" t="s">
        <v>178</v>
      </c>
      <c r="C2" s="244" t="s">
        <v>179</v>
      </c>
      <c r="D2" s="244"/>
      <c r="E2" s="244"/>
      <c r="F2" s="244"/>
      <c r="G2" s="244"/>
      <c r="H2" s="244"/>
      <c r="I2" s="244"/>
      <c r="J2" s="252" t="s">
        <v>180</v>
      </c>
      <c r="K2" s="252"/>
      <c r="L2" s="252"/>
      <c r="M2" s="253" t="s">
        <v>181</v>
      </c>
      <c r="N2" s="244" t="s">
        <v>182</v>
      </c>
      <c r="O2" s="244"/>
      <c r="P2" s="244"/>
      <c r="Q2" s="244"/>
      <c r="R2" s="244"/>
      <c r="S2" s="195" t="s">
        <v>183</v>
      </c>
    </row>
    <row r="3" spans="1:19" ht="15.75">
      <c r="A3" s="244"/>
      <c r="B3" s="244"/>
      <c r="C3" s="212" t="s">
        <v>184</v>
      </c>
      <c r="D3" s="213"/>
      <c r="E3" s="214"/>
      <c r="F3" s="212" t="s">
        <v>185</v>
      </c>
      <c r="G3" s="213"/>
      <c r="H3" s="214"/>
      <c r="I3" s="227" t="s">
        <v>186</v>
      </c>
      <c r="J3" s="249" t="s">
        <v>187</v>
      </c>
      <c r="K3" s="256" t="s">
        <v>188</v>
      </c>
      <c r="L3" s="249" t="s">
        <v>189</v>
      </c>
      <c r="M3" s="254"/>
      <c r="N3" s="227" t="s">
        <v>190</v>
      </c>
      <c r="O3" s="244" t="s">
        <v>191</v>
      </c>
      <c r="P3" s="244" t="s">
        <v>192</v>
      </c>
      <c r="Q3" s="244" t="s">
        <v>193</v>
      </c>
      <c r="R3" s="244" t="s">
        <v>194</v>
      </c>
      <c r="S3" s="195"/>
    </row>
    <row r="4" spans="1:19" ht="47.25" customHeight="1">
      <c r="A4" s="244"/>
      <c r="B4" s="244"/>
      <c r="C4" s="11" t="s">
        <v>195</v>
      </c>
      <c r="D4" s="25" t="s">
        <v>193</v>
      </c>
      <c r="E4" s="25" t="s">
        <v>194</v>
      </c>
      <c r="F4" s="11" t="s">
        <v>195</v>
      </c>
      <c r="G4" s="25" t="s">
        <v>193</v>
      </c>
      <c r="H4" s="25" t="s">
        <v>194</v>
      </c>
      <c r="I4" s="227"/>
      <c r="J4" s="250"/>
      <c r="K4" s="257"/>
      <c r="L4" s="250"/>
      <c r="M4" s="255"/>
      <c r="N4" s="244"/>
      <c r="O4" s="244"/>
      <c r="P4" s="244"/>
      <c r="Q4" s="244"/>
      <c r="R4" s="244"/>
      <c r="S4" s="195"/>
    </row>
    <row r="5" spans="1:19" ht="31.5">
      <c r="A5" s="25">
        <v>1</v>
      </c>
      <c r="B5" s="25">
        <v>2</v>
      </c>
      <c r="C5" s="11">
        <v>3</v>
      </c>
      <c r="D5" s="25">
        <v>4</v>
      </c>
      <c r="E5" s="25" t="s">
        <v>196</v>
      </c>
      <c r="F5" s="11">
        <v>6</v>
      </c>
      <c r="G5" s="25">
        <v>7</v>
      </c>
      <c r="H5" s="25" t="s">
        <v>197</v>
      </c>
      <c r="I5" s="11" t="s">
        <v>198</v>
      </c>
      <c r="J5" s="25">
        <v>10</v>
      </c>
      <c r="K5" s="25">
        <v>11</v>
      </c>
      <c r="L5" s="11">
        <v>12</v>
      </c>
      <c r="M5" s="11" t="s">
        <v>199</v>
      </c>
      <c r="N5" s="25">
        <v>14</v>
      </c>
      <c r="O5" s="11">
        <v>15</v>
      </c>
      <c r="P5" s="25">
        <v>16</v>
      </c>
      <c r="Q5" s="25">
        <v>17</v>
      </c>
      <c r="R5" s="11" t="s">
        <v>200</v>
      </c>
      <c r="S5" s="110" t="s">
        <v>201</v>
      </c>
    </row>
    <row r="6" spans="1:19" ht="15.75">
      <c r="A6" s="81"/>
      <c r="B6" s="43" t="s">
        <v>202</v>
      </c>
      <c r="C6" s="81">
        <f>'2008'!D13</f>
        <v>167268.81</v>
      </c>
      <c r="D6" s="81">
        <f>'2008'!D17</f>
        <v>10813.46</v>
      </c>
      <c r="E6" s="81">
        <f>SUM(C6:D6)</f>
        <v>178082.27</v>
      </c>
      <c r="F6" s="81">
        <f>'2008'!D14</f>
        <v>159328.59</v>
      </c>
      <c r="G6" s="81">
        <f>'2008'!D18</f>
        <v>10140.98</v>
      </c>
      <c r="H6" s="81">
        <f>SUM(F6:G6)</f>
        <v>169469.57</v>
      </c>
      <c r="I6" s="45">
        <f>E6-H6</f>
        <v>8612.699999999983</v>
      </c>
      <c r="J6" s="81">
        <v>0</v>
      </c>
      <c r="K6" s="81">
        <v>0</v>
      </c>
      <c r="L6" s="81">
        <v>0</v>
      </c>
      <c r="M6" s="81">
        <f>H6+J6+K6+L6</f>
        <v>169469.57</v>
      </c>
      <c r="N6" s="81">
        <f>'2008'!D27</f>
        <v>18399.5691</v>
      </c>
      <c r="O6" s="81">
        <f>'2008'!D28</f>
        <v>117088.16699999999</v>
      </c>
      <c r="P6" s="81">
        <f>'2008'!D29</f>
        <v>19618</v>
      </c>
      <c r="Q6" s="45">
        <v>0</v>
      </c>
      <c r="R6" s="81">
        <f>SUM(N6:Q6)</f>
        <v>155105.73609999998</v>
      </c>
      <c r="S6" s="81">
        <f aca="true" t="shared" si="0" ref="S6:S11">M6-R6</f>
        <v>14363.833900000027</v>
      </c>
    </row>
    <row r="7" spans="1:19" ht="15.75">
      <c r="A7" s="81">
        <f>S6</f>
        <v>14363.833900000027</v>
      </c>
      <c r="B7" s="43" t="s">
        <v>203</v>
      </c>
      <c r="C7" s="81">
        <v>266676.34</v>
      </c>
      <c r="D7" s="81">
        <v>17127.91</v>
      </c>
      <c r="E7" s="81">
        <f>SUM(C7:D7)</f>
        <v>283804.25</v>
      </c>
      <c r="F7" s="81">
        <v>248807.59</v>
      </c>
      <c r="G7" s="81">
        <v>16433.65</v>
      </c>
      <c r="H7" s="81">
        <f>SUM(F7:G7)</f>
        <v>265241.24</v>
      </c>
      <c r="I7" s="45">
        <f>E7-H7</f>
        <v>18563.01000000001</v>
      </c>
      <c r="J7" s="81">
        <v>0</v>
      </c>
      <c r="K7" s="81">
        <v>0</v>
      </c>
      <c r="L7" s="81">
        <v>0</v>
      </c>
      <c r="M7" s="81">
        <f>H7+J7+K7+L7</f>
        <v>265241.24</v>
      </c>
      <c r="N7" s="81">
        <f>'отчет 2009'!H31</f>
        <v>26939.62</v>
      </c>
      <c r="O7" s="81">
        <f>'отчет 2009'!H32-'отчет 2009'!H31</f>
        <v>214598.51999999996</v>
      </c>
      <c r="P7" s="81">
        <f>'отчет 2009'!H33</f>
        <v>141700</v>
      </c>
      <c r="Q7" s="45">
        <v>0</v>
      </c>
      <c r="R7" s="81">
        <f>SUM(N7:Q7)</f>
        <v>383238.13999999996</v>
      </c>
      <c r="S7" s="81">
        <f t="shared" si="0"/>
        <v>-117996.89999999997</v>
      </c>
    </row>
    <row r="8" spans="1:19" ht="15.75">
      <c r="A8" s="81">
        <f>A7+S7</f>
        <v>-103633.06609999994</v>
      </c>
      <c r="B8" s="43" t="s">
        <v>204</v>
      </c>
      <c r="C8" s="81">
        <v>281310.24</v>
      </c>
      <c r="D8" s="81">
        <v>17811.17</v>
      </c>
      <c r="E8" s="81">
        <f>SUM(C8:D8)</f>
        <v>299121.41</v>
      </c>
      <c r="F8" s="81">
        <v>253456.82</v>
      </c>
      <c r="G8" s="81">
        <v>16409.83</v>
      </c>
      <c r="H8" s="81">
        <f>SUM(F8:G8)</f>
        <v>269866.65</v>
      </c>
      <c r="I8" s="45">
        <f>E8-H8</f>
        <v>29254.75999999995</v>
      </c>
      <c r="J8" s="81">
        <f>'отчет 2010'!I12</f>
        <v>149187.49</v>
      </c>
      <c r="K8" s="81">
        <v>0</v>
      </c>
      <c r="L8" s="81">
        <v>0</v>
      </c>
      <c r="M8" s="81">
        <f>H8+J8+K8+L8</f>
        <v>419054.14</v>
      </c>
      <c r="N8" s="81">
        <f>'отчет 2010'!J29</f>
        <v>43082.888999999996</v>
      </c>
      <c r="O8" s="81">
        <f>'отчет 2010'!J34-'отчет 2010'!J29</f>
        <v>260467.3974</v>
      </c>
      <c r="P8" s="81">
        <f>'отчет 2010'!H35</f>
        <v>80630</v>
      </c>
      <c r="Q8" s="45">
        <v>0</v>
      </c>
      <c r="R8" s="81">
        <f>SUM(N8:Q8)</f>
        <v>384180.2864</v>
      </c>
      <c r="S8" s="81">
        <f t="shared" si="0"/>
        <v>34873.85360000003</v>
      </c>
    </row>
    <row r="9" spans="1:19" ht="15.75">
      <c r="A9" s="81">
        <f>A8+S8</f>
        <v>-68759.2124999999</v>
      </c>
      <c r="B9" s="43" t="s">
        <v>205</v>
      </c>
      <c r="C9" s="81">
        <v>321118.04</v>
      </c>
      <c r="D9" s="81">
        <v>21465</v>
      </c>
      <c r="E9" s="81">
        <f>SUM(C9:D9)</f>
        <v>342583.04</v>
      </c>
      <c r="F9" s="81">
        <f>'отчет 2011'!J10</f>
        <v>327771.51</v>
      </c>
      <c r="G9" s="81">
        <f>'отчет 2011'!J11</f>
        <v>20624.31</v>
      </c>
      <c r="H9" s="81">
        <f>SUM(F9:G9)</f>
        <v>348395.82</v>
      </c>
      <c r="I9" s="45">
        <f>E9-H9</f>
        <v>-5812.780000000028</v>
      </c>
      <c r="J9" s="81">
        <f>'отчет 2011'!J12</f>
        <v>84363.36</v>
      </c>
      <c r="K9" s="81">
        <v>0</v>
      </c>
      <c r="L9" s="81">
        <v>0</v>
      </c>
      <c r="M9" s="81">
        <f>H9+J9+K9+L9</f>
        <v>432759.18</v>
      </c>
      <c r="N9" s="81">
        <f>'отчет 2011'!J29</f>
        <v>40886.326</v>
      </c>
      <c r="O9" s="81">
        <f>'отчет 2011'!J32-'отчет 2011'!J29</f>
        <v>290822.93200000003</v>
      </c>
      <c r="P9" s="81">
        <f>'отчет 2011'!J36</f>
        <v>22546</v>
      </c>
      <c r="Q9" s="121">
        <f>'отчет 2011'!J38</f>
        <v>0</v>
      </c>
      <c r="R9" s="81">
        <f>SUM(N9:Q9)</f>
        <v>354255.25800000003</v>
      </c>
      <c r="S9" s="81">
        <f t="shared" si="0"/>
        <v>78503.92199999996</v>
      </c>
    </row>
    <row r="10" spans="1:19" ht="15.75">
      <c r="A10" s="81">
        <f>A9+S9</f>
        <v>9744.709500000055</v>
      </c>
      <c r="B10" s="43" t="s">
        <v>262</v>
      </c>
      <c r="C10" s="81">
        <v>211296.92</v>
      </c>
      <c r="D10" s="81">
        <v>14714.84</v>
      </c>
      <c r="E10" s="81">
        <f>SUM(C10:D10)</f>
        <v>226011.76</v>
      </c>
      <c r="F10" s="81">
        <v>200722.53</v>
      </c>
      <c r="G10" s="81">
        <v>13924.88</v>
      </c>
      <c r="H10" s="81">
        <f>SUM(F10:G10)</f>
        <v>214647.41</v>
      </c>
      <c r="I10" s="45">
        <f>E10-H10</f>
        <v>11364.350000000006</v>
      </c>
      <c r="J10" s="81">
        <f>'отчет 2012 стар'!K12</f>
        <v>63275.68</v>
      </c>
      <c r="K10" s="81">
        <v>0</v>
      </c>
      <c r="L10" s="81">
        <v>0</v>
      </c>
      <c r="M10" s="81">
        <f>H10+J10+K10+L10</f>
        <v>277923.09</v>
      </c>
      <c r="N10" s="81">
        <f>'отчет 2012 стар'!K29</f>
        <v>33699.96</v>
      </c>
      <c r="O10" s="81">
        <f>'отчет 2012 стар'!K31-'отчет 2012 стар'!K29</f>
        <v>245597.94000000003</v>
      </c>
      <c r="P10" s="81">
        <f>'отчет 2012 стар'!K35</f>
        <v>28353</v>
      </c>
      <c r="Q10" s="121">
        <f>'отчет 2012 стар'!K37</f>
        <v>0</v>
      </c>
      <c r="R10" s="48">
        <f>SUM(N10:Q10)</f>
        <v>307650.9</v>
      </c>
      <c r="S10" s="81">
        <f t="shared" si="0"/>
        <v>-29727.809999999998</v>
      </c>
    </row>
    <row r="11" spans="1:19" ht="15.75">
      <c r="A11" s="81"/>
      <c r="B11" s="43" t="s">
        <v>206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48"/>
      <c r="Q11" s="38"/>
      <c r="R11" s="48"/>
      <c r="S11" s="81">
        <f t="shared" si="0"/>
        <v>0</v>
      </c>
    </row>
    <row r="12" spans="1:19" ht="15.75">
      <c r="A12" s="81"/>
      <c r="B12" s="43" t="s">
        <v>207</v>
      </c>
      <c r="C12" s="81">
        <f>SUM(C6:C11)</f>
        <v>1247670.3499999999</v>
      </c>
      <c r="D12" s="81">
        <f>SUM(D6:D11)</f>
        <v>81932.37999999999</v>
      </c>
      <c r="E12" s="81">
        <f>C12+D12</f>
        <v>1329602.7299999997</v>
      </c>
      <c r="F12" s="81">
        <f>SUM(F6:F11)</f>
        <v>1190087.04</v>
      </c>
      <c r="G12" s="81">
        <f>SUM(G6:G11)</f>
        <v>77533.65000000001</v>
      </c>
      <c r="H12" s="81">
        <f>F12+G12</f>
        <v>1267620.69</v>
      </c>
      <c r="I12" s="81">
        <f>E12-H12</f>
        <v>61982.039999999804</v>
      </c>
      <c r="J12" s="81">
        <f>SUM(J6:J11)</f>
        <v>296826.52999999997</v>
      </c>
      <c r="K12" s="81">
        <f>SUM(K6:K11)</f>
        <v>0</v>
      </c>
      <c r="L12" s="81">
        <f>SUM(L6:L11)</f>
        <v>0</v>
      </c>
      <c r="M12" s="81">
        <f>H12+J12+K12+L12</f>
        <v>1564447.22</v>
      </c>
      <c r="N12" s="81">
        <f>SUM(N6:N11)</f>
        <v>163008.3641</v>
      </c>
      <c r="O12" s="81">
        <f>SUM(O6:O11)</f>
        <v>1128574.9564</v>
      </c>
      <c r="P12" s="81">
        <f>SUM(P6:P11)</f>
        <v>292847</v>
      </c>
      <c r="Q12" s="45">
        <f>SUM(Q6:Q11)</f>
        <v>0</v>
      </c>
      <c r="R12" s="81">
        <f>N12+O12+P12+Q12</f>
        <v>1584430.3205</v>
      </c>
      <c r="S12" s="81">
        <f>SUM(S6:S11)</f>
        <v>-19983.100499999942</v>
      </c>
    </row>
    <row r="15" spans="2:11" ht="18.75">
      <c r="B15" s="246" t="s">
        <v>263</v>
      </c>
      <c r="C15" s="246"/>
      <c r="D15" s="246"/>
      <c r="E15" s="246"/>
      <c r="F15" s="246"/>
      <c r="G15" s="246"/>
      <c r="H15" s="246"/>
      <c r="I15" s="246"/>
      <c r="J15" s="246"/>
      <c r="K15" s="246"/>
    </row>
    <row r="18" spans="2:11" ht="39" customHeight="1">
      <c r="B18" s="247" t="s">
        <v>264</v>
      </c>
      <c r="C18" s="248"/>
      <c r="D18" s="248"/>
      <c r="E18" s="248"/>
      <c r="F18" s="248"/>
      <c r="G18" s="248"/>
      <c r="H18" s="248"/>
      <c r="I18" s="248"/>
      <c r="J18" s="248"/>
      <c r="K18" s="248"/>
    </row>
    <row r="20" spans="2:11" ht="18.75">
      <c r="B20" s="248" t="s">
        <v>265</v>
      </c>
      <c r="C20" s="248"/>
      <c r="D20" s="248"/>
      <c r="E20" s="248"/>
      <c r="F20" s="248"/>
      <c r="G20" s="248"/>
      <c r="H20" s="248"/>
      <c r="I20" s="248"/>
      <c r="J20" s="248"/>
      <c r="K20" s="248"/>
    </row>
    <row r="23" ht="15.75">
      <c r="B23" t="s">
        <v>266</v>
      </c>
    </row>
  </sheetData>
  <mergeCells count="22"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B15:K15"/>
    <mergeCell ref="B18:K18"/>
    <mergeCell ref="B20:K20"/>
    <mergeCell ref="R3:R4"/>
    <mergeCell ref="N3:N4"/>
    <mergeCell ref="O3:O4"/>
    <mergeCell ref="P3:P4"/>
    <mergeCell ref="Q3:Q4"/>
    <mergeCell ref="I3:I4"/>
    <mergeCell ref="J3:J4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2013-02-25T09:29:00Z</cp:lastPrinted>
  <dcterms:created xsi:type="dcterms:W3CDTF">2009-08-26T03:25:10Z</dcterms:created>
  <dcterms:modified xsi:type="dcterms:W3CDTF">2013-03-25T05:56:09Z</dcterms:modified>
  <cp:category/>
  <cp:version/>
  <cp:contentType/>
  <cp:contentStatus/>
</cp:coreProperties>
</file>