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9" activeTab="9"/>
  </bookViews>
  <sheets>
    <sheet name="2008" sheetId="1" r:id="rId1"/>
    <sheet name="отчет 2009" sheetId="2" r:id="rId2"/>
    <sheet name="отчет 2010" sheetId="3" state="hidden" r:id="rId3"/>
    <sheet name="отчет 2011" sheetId="4" state="hidden" r:id="rId4"/>
    <sheet name="План 2011" sheetId="5" state="hidden" r:id="rId5"/>
    <sheet name="07.2012" sheetId="6" state="hidden" r:id="rId6"/>
    <sheet name="План 2012" sheetId="7" state="hidden" r:id="rId7"/>
    <sheet name="09.2012" sheetId="8" r:id="rId8"/>
    <sheet name="Лист1" sheetId="9" state="hidden" r:id="rId9"/>
    <sheet name="отчет 2012 стар" sheetId="10" r:id="rId10"/>
    <sheet name="накопит отчет стар" sheetId="11" state="hidden" r:id="rId11"/>
  </sheets>
  <definedNames>
    <definedName name="_xlnm.Print_Area" localSheetId="7">'09.2012'!$A$1:$H$45</definedName>
  </definedNames>
  <calcPr fullCalcOnLoad="1"/>
</workbook>
</file>

<file path=xl/sharedStrings.xml><?xml version="1.0" encoding="utf-8"?>
<sst xmlns="http://schemas.openxmlformats.org/spreadsheetml/2006/main" count="905" uniqueCount="266">
  <si>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</si>
  <si>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</si>
  <si>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</si>
  <si>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</si>
  <si>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</si>
  <si>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</si>
  <si>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</si>
  <si>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</si>
  <si>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</si>
  <si>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</si>
  <si>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</si>
  <si>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</si>
  <si>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</si>
  <si>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</si>
  <si>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</si>
  <si>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</si>
  <si>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</si>
  <si>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</si>
  <si>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</si>
  <si>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</si>
  <si>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</si>
  <si>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</si>
  <si>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</si>
  <si>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</si>
  <si>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</si>
  <si>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</si>
  <si>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</si>
  <si>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</si>
  <si>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</si>
  <si>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</si>
  <si>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</si>
  <si>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</si>
  <si>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</si>
  <si>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</si>
  <si>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</si>
  <si>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</si>
  <si>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</si>
  <si>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</si>
  <si>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</si>
  <si>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</si>
  <si>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</si>
  <si>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</si>
  <si>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</si>
  <si>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</si>
  <si>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</si>
  <si>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</si>
  <si>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</si>
  <si>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</si>
  <si>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</si>
  <si>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</si>
  <si>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</si>
  <si>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</si>
  <si>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</si>
  <si>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</si>
  <si>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</si>
  <si>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</si>
  <si>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</si>
  <si>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</si>
  <si>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</si>
  <si>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</si>
  <si>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</si>
  <si>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</si>
  <si>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</si>
  <si>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</si>
  <si>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</si>
  <si>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</si>
  <si>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</si>
  <si>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</si>
  <si>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</si>
  <si>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</si>
  <si>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</si>
  <si>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</si>
  <si>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</si>
  <si>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</si>
  <si>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</si>
  <si>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</si>
  <si>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</si>
  <si>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2"</t>
  </si>
  <si>
    <t>Принято: старший по дому</t>
  </si>
  <si>
    <t>Противопожарные мероприятия:  содержание и обслуживание вентканалов и шахт</t>
  </si>
  <si>
    <t>Претензий по управлению нет   (да)</t>
  </si>
  <si>
    <t>Беляева О.Ф.</t>
  </si>
  <si>
    <t>Директор ООО "ОЖКС №2"</t>
  </si>
  <si>
    <t>Кутузова, 6</t>
  </si>
  <si>
    <t>Адрес:</t>
  </si>
  <si>
    <t xml:space="preserve">       Представитель собственников  - старший по дому                                                           , с одной стороны и Общество с Ограниченной Ответственностью "Октябрьский Жилкомсервис № 2" в лице директора Беляевой О.Ф., действующей на основании Устава,  с другой стороны, составили настоящий отчет о выполненных работах  в  2009г.      </t>
  </si>
  <si>
    <t>ОТЧЕТ
о выполненных работах в 2008 году по договору управления МКД 
№ __  от 28.03.2008 г., заключенного между ООО "ОЖКС № 2" и собственниками многоквартирного дома
по адресу:  ул. Кутузова, 6</t>
  </si>
  <si>
    <t xml:space="preserve">        Представитель собственников  - старший по дому Никольченко Р.М., с одной стороны и Общество с Ограниченной Ответственностью "Октябрьский Жилкомсервис № 2" в лице директора Беляевой О.Ф.,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</si>
  <si>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</si>
  <si>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</si>
  <si>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</si>
  <si>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</si>
  <si>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</si>
  <si>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</si>
  <si>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</si>
  <si>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</si>
  <si>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</si>
  <si>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</si>
  <si>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</si>
  <si>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</si>
  <si>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</si>
  <si>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</si>
  <si>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из них:</t>
  </si>
  <si>
    <t xml:space="preserve"> - собственников</t>
  </si>
  <si>
    <t xml:space="preserve"> - нанимателей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</si>
  <si>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</si>
  <si>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</si>
  <si>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</si>
  <si>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</si>
  <si>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</si>
  <si>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</si>
  <si>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</si>
  <si>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</si>
  <si>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</si>
  <si>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</si>
  <si>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</si>
  <si>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</si>
  <si>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</si>
  <si>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</si>
  <si>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</si>
  <si>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</si>
  <si>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</si>
  <si>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</si>
  <si>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</si>
  <si>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</si>
  <si>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</si>
  <si>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</si>
  <si>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</si>
  <si>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</si>
  <si>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</si>
  <si>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</si>
  <si>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</si>
  <si>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2"                                               О.Ф.Беляева                                      </t>
  </si>
  <si>
    <t>Принято:</t>
  </si>
  <si>
    <t>Старший по дому                                                                     Р.М. Никольченко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</si>
  <si>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</si>
  <si>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</si>
  <si>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</si>
  <si>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</si>
  <si>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</si>
  <si>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</si>
  <si>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2.3.</t>
  </si>
  <si>
    <t xml:space="preserve">                Представитель собственников  - старший по дому                                                             ,  с одной стороны и Общество с Ограниченной Ответственностью "Октябрьский Жилкомсервис № 2" в лице директора Беляевой О.Ф, действующей на основании Устава,  с другой стороны, составили настоящий отчет о выполненных работах  в  2010 г.      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</si>
  <si>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</si>
  <si>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</si>
  <si>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</si>
  <si>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</si>
  <si>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</si>
  <si>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</si>
  <si>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</si>
  <si>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</si>
  <si>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</si>
  <si>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</si>
  <si>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</si>
  <si>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</si>
  <si>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</si>
  <si>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 контейнерных площадок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</si>
  <si>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</si>
  <si>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</si>
  <si>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</si>
  <si>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</si>
  <si>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</si>
  <si>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</si>
  <si>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</si>
  <si>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</si>
  <si>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</si>
  <si>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</si>
  <si>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</si>
  <si>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</si>
  <si>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</si>
  <si>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2"                                                                       </t>
  </si>
  <si>
    <t>О.Ф. Беляева</t>
  </si>
  <si>
    <t xml:space="preserve">Принято: Старший по дому                                                 </t>
  </si>
  <si>
    <t>Претензий по управлению нет (да)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</si>
  <si>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</si>
  <si>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</si>
  <si>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</si>
  <si>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</si>
  <si>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</si>
  <si>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</si>
  <si>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r>
      <t xml:space="preserve">результат
</t>
    </r>
    <r>
      <rPr>
        <b/>
        <sz val="12"/>
        <color indexed="8"/>
        <rFont val="Times New Roman"/>
        <family val="1"/>
      </rPr>
      <t xml:space="preserve"> за год</t>
    </r>
    <r>
      <rPr>
        <b/>
        <sz val="12"/>
        <rFont val="Times New Roman"/>
        <family val="1"/>
      </rPr>
      <t xml:space="preserve">
(+эконом., 
-перерасх.)</t>
    </r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</si>
  <si>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</si>
  <si>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</si>
  <si>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</si>
  <si>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</si>
  <si>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</si>
  <si>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</si>
  <si>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</si>
  <si>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</si>
  <si>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</si>
  <si>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</si>
  <si>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</si>
  <si>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</si>
  <si>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</si>
  <si>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</si>
  <si>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</si>
  <si>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</si>
  <si>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</si>
  <si>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</si>
  <si>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</si>
  <si>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</si>
  <si>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</si>
  <si>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</si>
  <si>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Итого: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</si>
  <si>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</si>
  <si>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</si>
  <si>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>Сбор, вывоз  бытового мусора, содержание  контейнерных площадок</t>
    </r>
    <r>
      <rPr>
        <sz val="12"/>
        <color indexed="10"/>
        <rFont val="Times New Roman"/>
        <family val="1"/>
      </rPr>
      <t xml:space="preserve"> 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</si>
  <si>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</si>
  <si>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</si>
  <si>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</si>
  <si>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</si>
  <si>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</si>
  <si>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Смета доходов и расходов  на  2011 г.
согласно договора управления МКД №607/2  от 28.03.2008 г., заключенного между
 ООО "ОЖКС № 2" и собственниками многоквартирного дома
по адресу:  ул.Кутузова, 6</t>
  </si>
  <si>
    <t>ОТЧЕТ
за  2011 г. о выполнении условий  договора управления МКД № 824/2 от 28.03.2008 г., заключенного между ООО "ОЖКС № 2" и  собственниками многоквартирного дома
по адресу:  ул. Кутузова, 6</t>
  </si>
  <si>
    <t xml:space="preserve">Финансовый результат за 2011г. (+ экономия,- перерасход)                                                      </t>
  </si>
  <si>
    <t xml:space="preserve">ОТЧЕТ
по  договору управления МКД № 824/2 от 28.03.2008 г., заключенного между ООО "ОЖКС № 2" и собственниками многоквартирного дома
по адресу:  ул. Кутузова, 6
 </t>
  </si>
  <si>
    <t>ОТЧЕТ
за  2009 г. о выполнении условий  договора управления МКД №607/2  от 28.03.2008 г., заключенного между ООО "ОЖКС № 2" и собственниками многоквартирного дома
по адресу:  ул.Кутузова, 6</t>
  </si>
  <si>
    <t>ОТЧЕТ
за  2010 г. о выполнении условий  договора управления МКД № 607/2 от 28.03.2008 г., заключенного между ООО "ОЖКС № 2" и  собственниками многоквартирного дома
по адресу:  ул. Кутузова, 6</t>
  </si>
  <si>
    <t xml:space="preserve">                Представитель собственников  - старший по дому                                                             ,  с одной стороны и Общество с Ограниченной Ответственностью "Октябрьский Жилкомсервис № 2" в лице директора Золотаревой Л.А., действующей на основании Устава,  с другой стороны, составили настоящий отчет о выполненных работах  в  2011 г.      </t>
  </si>
  <si>
    <t>Л.А. Золотарева</t>
  </si>
  <si>
    <t>Смета доходов и расходов  на  2012 г.
согласно договора управления МКД № 824/2  от 28.03.2008 г., заключенного между
 ООО "ОЖКС № 2" и собственниками многоквартирного дома
по адресу:  ул.Кутузова, 6</t>
  </si>
  <si>
    <t xml:space="preserve"> Текущий ремонт общего имущества </t>
  </si>
  <si>
    <t xml:space="preserve">Капитальный ремонт  </t>
  </si>
  <si>
    <t>Справочно: индекс увеличения тарифа по году 103%:</t>
  </si>
  <si>
    <t>- с 1 января 2012г. Тариф остается на уровне 2011г.</t>
  </si>
  <si>
    <t>- с 1 июля 2012г. к Тарифу применен индекс 106%</t>
  </si>
  <si>
    <t>Подъезд № 1,3  кв. № 1-20,41-60 уборка л/кл. не производится по заявлению жителей с 01.04.2011г.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</si>
  <si>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
 № ___ от "____"___________2012г.</t>
  </si>
  <si>
    <t>Расчет стоимости договора и тарифа 1 м2 на 2012 г.</t>
  </si>
  <si>
    <t>Тариф с 1 июля 2012 г. - 10,74 руб., капитальный ремонт - 0,80 руб.</t>
  </si>
  <si>
    <t>* в случае уточнения площадей возможно изменение стоимости</t>
  </si>
  <si>
    <t>- с 1 июля 2012г. к Тарифу применен индекс 106%.</t>
  </si>
  <si>
    <t xml:space="preserve">           Представитель собственников</t>
  </si>
  <si>
    <t>________________ Л.А. Золотарева</t>
  </si>
  <si>
    <t xml:space="preserve">            ________________________</t>
  </si>
  <si>
    <t>1.1.</t>
  </si>
  <si>
    <t>1.2.</t>
  </si>
  <si>
    <t>1.3.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</si>
  <si>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 № ___ от "____"___________2012г.</t>
  </si>
  <si>
    <t>подметание асфальта -   1 раз/неделю,                
подбор мусора - ежедневно</t>
  </si>
  <si>
    <t>по плану работ</t>
  </si>
  <si>
    <t>Представитель собственников</t>
  </si>
  <si>
    <t xml:space="preserve">                   ________________________</t>
  </si>
  <si>
    <t>Тариф с 1 августа 2012 г. - 10,74 руб., капитальный ремонт - 0,80 руб.</t>
  </si>
  <si>
    <t>Тариф 
на 
1 кв.м. август-декабрь 2012г.
руб.</t>
  </si>
  <si>
    <t>Стоимость работ
август-декабрь 2012г.             руб.</t>
  </si>
  <si>
    <t>5=гр.4*Sдома*5мес.</t>
  </si>
  <si>
    <t xml:space="preserve">        Представитель собственников -______________________, с одной стороны и Общество с Ограниченной Ответственностью "Октябрьский Жилкомсервис № 2" в лице директора Золотаревой Л.А., действующей на основании Устава,  с другой стороны, составили настоящий отчет о выполненных работах  с 01.01.2012 г по 31.07.2012г.</t>
  </si>
  <si>
    <t>S жилых и нежилых помещений, кв.м</t>
  </si>
  <si>
    <t>Тариф 01.01.12г-30.06.12г</t>
  </si>
  <si>
    <t>Тариф 01.07.12г.-31.07.12г.</t>
  </si>
  <si>
    <t>Сумма с 01.01.12г.-31.07.12г., руб.</t>
  </si>
  <si>
    <t>кол-во мес. по дог. управления</t>
  </si>
  <si>
    <t>Сбор, вывоз бытового мусора</t>
  </si>
  <si>
    <t xml:space="preserve"> </t>
  </si>
  <si>
    <t xml:space="preserve">Финансовый результат за с 01.01.12 г по 31.07.12г (+ экономия,- перерасход)                                                      </t>
  </si>
  <si>
    <t xml:space="preserve">Директор ООО "ОЖКС № 2"                                                                         Л.А. Золотарева                        </t>
  </si>
  <si>
    <t xml:space="preserve">Принято: Старший по дому                                                  </t>
  </si>
  <si>
    <t>___________________</t>
  </si>
  <si>
    <t>Исп.: Биштова З.В.</t>
  </si>
  <si>
    <t>ОТЧЕТ
с 01.01.2012 г по 31.07.2012г. о выполнении условий  договора управления МКД № 824/2 от 28.03.2008 г., заключенного между ООО "ОЖКС № 2" и собственниками многоквартирного дома по адресу:  ул. Кутузова, 6</t>
  </si>
  <si>
    <t>Адрес: Кутузова, 6</t>
  </si>
  <si>
    <t>за 7 мес 2012г</t>
  </si>
  <si>
    <t>Директор ООО "ОЖКС № 2"                                                      ____________________ Л.А. Золотарева</t>
  </si>
  <si>
    <t>Финансовый результат
по договору управления подтверждаю:</t>
  </si>
  <si>
    <t>Старший по дому:                                                                             ____________________/______________/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</si>
</sst>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1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16" fontId="2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2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5" fontId="0" fillId="0" borderId="0" xfId="0" applyNumberFormat="1" applyFill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0" fillId="0" borderId="1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0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49" fontId="13" fillId="0" borderId="23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1">
      <selection activeCell="D18" sqref="D18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7.625" style="0" customWidth="1"/>
  </cols>
  <sheetData>
    <row r="1" spans="1:4" ht="104.25" customHeight="1">
      <c r="A1" s="194" t="s">
        <v>86</v>
      </c>
      <c r="B1" s="195"/>
      <c r="C1" s="195"/>
      <c r="D1" s="195"/>
    </row>
    <row r="2" spans="1:4" ht="87.75" customHeight="1">
      <c r="A2" s="196" t="s">
        <v>87</v>
      </c>
      <c r="B2" s="197"/>
      <c r="C2" s="197"/>
      <c r="D2" s="197"/>
    </row>
    <row r="3" spans="1:4" ht="20.25" customHeight="1">
      <c r="A3" s="25" t="s">
        <v>88</v>
      </c>
      <c r="B3" s="25" t="s">
        <v>89</v>
      </c>
      <c r="C3" s="11" t="s">
        <v>90</v>
      </c>
      <c r="D3" s="32"/>
    </row>
    <row r="4" spans="1:4" ht="18.75" customHeight="1">
      <c r="A4" s="39" t="s">
        <v>91</v>
      </c>
      <c r="B4" s="40" t="s">
        <v>92</v>
      </c>
      <c r="C4" s="11" t="s">
        <v>93</v>
      </c>
      <c r="D4" s="41">
        <v>5</v>
      </c>
    </row>
    <row r="5" spans="1:4" ht="15.75">
      <c r="A5" s="42" t="s">
        <v>94</v>
      </c>
      <c r="B5" s="43" t="s">
        <v>95</v>
      </c>
      <c r="C5" s="44" t="s">
        <v>96</v>
      </c>
      <c r="D5" s="45">
        <v>3565.5</v>
      </c>
    </row>
    <row r="6" spans="1:4" ht="14.25" customHeight="1">
      <c r="A6" s="42" t="s">
        <v>97</v>
      </c>
      <c r="B6" s="43" t="s">
        <v>98</v>
      </c>
      <c r="C6" s="44" t="s">
        <v>93</v>
      </c>
      <c r="D6" s="46">
        <v>80</v>
      </c>
    </row>
    <row r="7" spans="1:4" ht="15.75" hidden="1">
      <c r="A7" s="42" t="s">
        <v>99</v>
      </c>
      <c r="B7" s="43" t="s">
        <v>100</v>
      </c>
      <c r="C7" s="44" t="s">
        <v>101</v>
      </c>
      <c r="D7" s="45"/>
    </row>
    <row r="8" spans="1:4" ht="15.75" hidden="1">
      <c r="A8" s="47"/>
      <c r="B8" s="48" t="s">
        <v>102</v>
      </c>
      <c r="C8" s="38"/>
      <c r="D8" s="45"/>
    </row>
    <row r="9" spans="1:4" ht="15.75" hidden="1">
      <c r="A9" s="47"/>
      <c r="B9" s="48" t="s">
        <v>103</v>
      </c>
      <c r="C9" s="38" t="s">
        <v>101</v>
      </c>
      <c r="D9" s="45"/>
    </row>
    <row r="10" spans="1:4" ht="15.75" hidden="1">
      <c r="A10" s="47"/>
      <c r="B10" s="48" t="s">
        <v>104</v>
      </c>
      <c r="C10" s="38" t="s">
        <v>101</v>
      </c>
      <c r="D10" s="45"/>
    </row>
    <row r="11" spans="1:4" ht="16.5" customHeight="1">
      <c r="A11" s="42" t="s">
        <v>99</v>
      </c>
      <c r="B11" s="43" t="s">
        <v>105</v>
      </c>
      <c r="C11" s="38"/>
      <c r="D11" s="45"/>
    </row>
    <row r="12" spans="1:4" ht="15.75">
      <c r="A12" s="49" t="s">
        <v>106</v>
      </c>
      <c r="B12" s="43" t="s">
        <v>107</v>
      </c>
      <c r="C12" s="38"/>
      <c r="D12" s="45"/>
    </row>
    <row r="13" spans="1:4" ht="17.25" customHeight="1">
      <c r="A13" s="50"/>
      <c r="B13" s="48" t="s">
        <v>108</v>
      </c>
      <c r="C13" s="38" t="s">
        <v>109</v>
      </c>
      <c r="D13" s="45">
        <v>265105.07</v>
      </c>
    </row>
    <row r="14" spans="1:4" ht="16.5" customHeight="1">
      <c r="A14" s="50"/>
      <c r="B14" s="48" t="s">
        <v>110</v>
      </c>
      <c r="C14" s="38" t="s">
        <v>109</v>
      </c>
      <c r="D14" s="45">
        <v>258287.1</v>
      </c>
    </row>
    <row r="15" spans="1:4" ht="15.75">
      <c r="A15" s="50"/>
      <c r="B15" s="43" t="s">
        <v>111</v>
      </c>
      <c r="C15" s="44" t="s">
        <v>109</v>
      </c>
      <c r="D15" s="51">
        <f>D13-D14</f>
        <v>6817.970000000001</v>
      </c>
    </row>
    <row r="16" spans="1:4" ht="18" customHeight="1">
      <c r="A16" s="49" t="s">
        <v>112</v>
      </c>
      <c r="B16" s="43" t="s">
        <v>113</v>
      </c>
      <c r="C16" s="38"/>
      <c r="D16" s="45"/>
    </row>
    <row r="17" spans="1:4" ht="15.75">
      <c r="A17" s="50"/>
      <c r="B17" s="48" t="s">
        <v>108</v>
      </c>
      <c r="C17" s="38" t="s">
        <v>109</v>
      </c>
      <c r="D17" s="45">
        <v>18567.73</v>
      </c>
    </row>
    <row r="18" spans="1:4" ht="15.75" customHeight="1">
      <c r="A18" s="50"/>
      <c r="B18" s="48" t="s">
        <v>110</v>
      </c>
      <c r="C18" s="38" t="s">
        <v>109</v>
      </c>
      <c r="D18" s="45">
        <v>18455.9</v>
      </c>
    </row>
    <row r="19" spans="1:4" ht="15.75" customHeight="1">
      <c r="A19" s="50"/>
      <c r="B19" s="43" t="s">
        <v>111</v>
      </c>
      <c r="C19" s="44" t="s">
        <v>109</v>
      </c>
      <c r="D19" s="51">
        <f>D17-D18</f>
        <v>111.82999999999811</v>
      </c>
    </row>
    <row r="20" spans="1:4" ht="15.75" customHeight="1">
      <c r="A20" s="49" t="s">
        <v>114</v>
      </c>
      <c r="B20" s="43" t="s">
        <v>115</v>
      </c>
      <c r="C20" s="44"/>
      <c r="D20" s="51"/>
    </row>
    <row r="21" spans="1:4" ht="15.75" customHeight="1">
      <c r="A21" s="50"/>
      <c r="B21" s="48" t="s">
        <v>108</v>
      </c>
      <c r="C21" s="52" t="s">
        <v>109</v>
      </c>
      <c r="D21" s="53">
        <v>2165.7</v>
      </c>
    </row>
    <row r="22" spans="1:4" ht="15.75" customHeight="1">
      <c r="A22" s="50"/>
      <c r="B22" s="48" t="s">
        <v>110</v>
      </c>
      <c r="C22" s="52" t="s">
        <v>109</v>
      </c>
      <c r="D22" s="53">
        <v>2300.52</v>
      </c>
    </row>
    <row r="23" spans="1:4" ht="15.75" customHeight="1">
      <c r="A23" s="50"/>
      <c r="B23" s="43" t="s">
        <v>111</v>
      </c>
      <c r="C23" s="44" t="s">
        <v>109</v>
      </c>
      <c r="D23" s="51">
        <f>D21-D22</f>
        <v>-134.82000000000016</v>
      </c>
    </row>
    <row r="24" spans="1:4" ht="15" customHeight="1">
      <c r="A24" s="50"/>
      <c r="B24" s="43" t="s">
        <v>116</v>
      </c>
      <c r="C24" s="38" t="s">
        <v>109</v>
      </c>
      <c r="D24" s="51">
        <f>D13+D17+D21</f>
        <v>285838.5</v>
      </c>
    </row>
    <row r="25" spans="1:4" ht="15.75">
      <c r="A25" s="50"/>
      <c r="B25" s="43" t="s">
        <v>117</v>
      </c>
      <c r="C25" s="38" t="s">
        <v>109</v>
      </c>
      <c r="D25" s="51">
        <f>D15+D19+D23</f>
        <v>6794.98</v>
      </c>
    </row>
    <row r="26" spans="1:4" ht="15.75" customHeight="1">
      <c r="A26" s="42" t="s">
        <v>118</v>
      </c>
      <c r="B26" s="54" t="s">
        <v>119</v>
      </c>
      <c r="C26" s="38"/>
      <c r="D26" s="45"/>
    </row>
    <row r="27" spans="1:4" ht="94.5">
      <c r="A27" s="55" t="s">
        <v>120</v>
      </c>
      <c r="B27" s="56" t="s">
        <v>121</v>
      </c>
      <c r="C27" s="44" t="s">
        <v>109</v>
      </c>
      <c r="D27" s="51">
        <f>D13*0.11</f>
        <v>29161.5577</v>
      </c>
    </row>
    <row r="28" spans="1:4" ht="94.5" customHeight="1">
      <c r="A28" s="55" t="s">
        <v>122</v>
      </c>
      <c r="B28" s="56" t="s">
        <v>123</v>
      </c>
      <c r="C28" s="44" t="s">
        <v>109</v>
      </c>
      <c r="D28" s="51">
        <f>D13*0.7</f>
        <v>185573.549</v>
      </c>
    </row>
    <row r="29" spans="1:4" ht="21.75" customHeight="1">
      <c r="A29" s="55" t="s">
        <v>124</v>
      </c>
      <c r="B29" s="43" t="s">
        <v>125</v>
      </c>
      <c r="C29" s="44" t="s">
        <v>109</v>
      </c>
      <c r="D29" s="57">
        <v>50500</v>
      </c>
    </row>
    <row r="30" spans="1:4" ht="18.75" customHeight="1" hidden="1">
      <c r="A30" s="55" t="s">
        <v>126</v>
      </c>
      <c r="B30" s="43" t="s">
        <v>127</v>
      </c>
      <c r="C30" s="44" t="s">
        <v>109</v>
      </c>
      <c r="D30" s="57">
        <v>0</v>
      </c>
    </row>
    <row r="31" spans="1:4" ht="17.25" customHeight="1">
      <c r="A31" s="50"/>
      <c r="B31" s="43" t="s">
        <v>128</v>
      </c>
      <c r="C31" s="44" t="s">
        <v>109</v>
      </c>
      <c r="D31" s="51">
        <f>D27+D28+D29+D30</f>
        <v>265235.1067</v>
      </c>
    </row>
    <row r="32" spans="1:4" ht="17.25" customHeight="1">
      <c r="A32" s="49" t="s">
        <v>62</v>
      </c>
      <c r="B32" s="43" t="s">
        <v>129</v>
      </c>
      <c r="C32" s="38" t="s">
        <v>109</v>
      </c>
      <c r="D32" s="45">
        <f>D24-D31</f>
        <v>20603.393299999996</v>
      </c>
    </row>
    <row r="33" spans="1:4" ht="31.5">
      <c r="A33" s="55" t="s">
        <v>130</v>
      </c>
      <c r="B33" s="56" t="s">
        <v>131</v>
      </c>
      <c r="C33" s="38" t="s">
        <v>109</v>
      </c>
      <c r="D33" s="45">
        <f>D32-D25</f>
        <v>13808.413299999997</v>
      </c>
    </row>
    <row r="34" spans="1:4" ht="15.75">
      <c r="A34" s="58"/>
      <c r="B34" s="59"/>
      <c r="C34" s="60"/>
      <c r="D34" s="60"/>
    </row>
    <row r="35" spans="2:4" ht="15.75">
      <c r="B35" s="61" t="s">
        <v>132</v>
      </c>
      <c r="C35" s="61"/>
      <c r="D35" s="61"/>
    </row>
    <row r="36" spans="2:4" ht="15.75">
      <c r="B36" s="61"/>
      <c r="C36" s="61"/>
      <c r="D36" s="61"/>
    </row>
    <row r="37" spans="2:4" ht="15.75">
      <c r="B37" s="62" t="s">
        <v>133</v>
      </c>
      <c r="C37" s="62"/>
      <c r="D37" s="62"/>
    </row>
    <row r="38" spans="2:4" ht="15.75">
      <c r="B38" s="61" t="s">
        <v>134</v>
      </c>
      <c r="C38" s="61"/>
      <c r="D38" s="62"/>
    </row>
    <row r="39" spans="2:4" ht="17.25" customHeight="1">
      <c r="B39" s="198" t="s">
        <v>135</v>
      </c>
      <c r="C39" s="198"/>
      <c r="D39" s="198"/>
    </row>
  </sheetData>
  <mergeCells count="3">
    <mergeCell ref="A1:D1"/>
    <mergeCell ref="A2:D2"/>
    <mergeCell ref="B39:D39"/>
  </mergeCells>
  <printOptions/>
  <pageMargins left="0.7874015748031497" right="0.31496062992125984" top="0.984251968503937" bottom="0.3937007874015748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9">
      <selection activeCell="L1" sqref="L1:M16384"/>
    </sheetView>
  </sheetViews>
  <sheetFormatPr defaultColWidth="9.00390625" defaultRowHeight="15.75"/>
  <cols>
    <col min="1" max="1" width="6.75390625" style="0" customWidth="1"/>
    <col min="2" max="2" width="27.00390625" style="0" customWidth="1"/>
    <col min="3" max="3" width="4.25390625" style="0" customWidth="1"/>
    <col min="4" max="4" width="20.25390625" style="0" customWidth="1"/>
    <col min="5" max="5" width="23.375" style="0" customWidth="1"/>
    <col min="6" max="6" width="22.50390625" style="0" hidden="1" customWidth="1"/>
    <col min="7" max="7" width="9.375" style="0" hidden="1" customWidth="1"/>
    <col min="8" max="8" width="9.875" style="0" hidden="1" customWidth="1"/>
    <col min="9" max="9" width="10.375" style="0" hidden="1" customWidth="1"/>
    <col min="10" max="10" width="11.625" style="0" hidden="1" customWidth="1"/>
    <col min="11" max="11" width="23.50390625" style="0" customWidth="1"/>
    <col min="12" max="12" width="11.875" style="0" hidden="1" customWidth="1"/>
    <col min="13" max="13" width="8.75390625" style="0" hidden="1" customWidth="1"/>
  </cols>
  <sheetData>
    <row r="1" spans="1:11" ht="89.25" customHeight="1">
      <c r="A1" s="208" t="s">
        <v>260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65.25" customHeight="1">
      <c r="A2" s="253" t="s">
        <v>247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2:10" ht="36" customHeight="1">
      <c r="B3" s="1" t="s">
        <v>261</v>
      </c>
      <c r="C3" s="2"/>
      <c r="D3" s="156" t="s">
        <v>248</v>
      </c>
      <c r="E3" s="146">
        <v>3560.7</v>
      </c>
      <c r="F3" s="4"/>
      <c r="G3" s="2"/>
      <c r="J3" s="75"/>
    </row>
    <row r="4" spans="2:7" ht="15.75">
      <c r="B4" s="3" t="s">
        <v>1</v>
      </c>
      <c r="C4" s="30">
        <v>5</v>
      </c>
      <c r="D4" s="2" t="s">
        <v>2</v>
      </c>
      <c r="E4" s="30">
        <v>80</v>
      </c>
      <c r="F4" s="4"/>
      <c r="G4" s="2"/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s="2"/>
    </row>
    <row r="7" spans="1:13" ht="78.75">
      <c r="A7" s="24" t="s">
        <v>61</v>
      </c>
      <c r="B7" s="179" t="s">
        <v>145</v>
      </c>
      <c r="C7" s="222"/>
      <c r="D7" s="223"/>
      <c r="E7" s="11" t="s">
        <v>6</v>
      </c>
      <c r="F7" s="11" t="s">
        <v>7</v>
      </c>
      <c r="G7" s="77" t="s">
        <v>249</v>
      </c>
      <c r="H7" s="148" t="s">
        <v>250</v>
      </c>
      <c r="I7" s="224" t="s">
        <v>251</v>
      </c>
      <c r="J7" s="225"/>
      <c r="K7" s="226"/>
      <c r="L7" s="43">
        <v>7</v>
      </c>
      <c r="M7" s="157" t="s">
        <v>252</v>
      </c>
    </row>
    <row r="8" spans="1:11" ht="15.75" customHeight="1">
      <c r="A8" s="25">
        <v>1</v>
      </c>
      <c r="B8" s="219"/>
      <c r="C8" s="220"/>
      <c r="D8" s="220"/>
      <c r="E8" s="220"/>
      <c r="F8" s="221"/>
      <c r="G8" s="158"/>
      <c r="H8" s="158"/>
      <c r="I8" s="159" t="s">
        <v>147</v>
      </c>
      <c r="J8" s="80" t="s">
        <v>148</v>
      </c>
      <c r="K8" s="80" t="s">
        <v>149</v>
      </c>
    </row>
    <row r="9" spans="1:11" ht="15.75" customHeight="1">
      <c r="A9" s="25"/>
      <c r="B9" s="219" t="s">
        <v>150</v>
      </c>
      <c r="C9" s="220"/>
      <c r="D9" s="220"/>
      <c r="E9" s="220"/>
      <c r="F9" s="221"/>
      <c r="G9" s="44"/>
      <c r="H9" s="44"/>
      <c r="I9" s="44"/>
      <c r="J9" s="44"/>
      <c r="K9" s="80"/>
    </row>
    <row r="10" spans="1:11" ht="29.25" customHeight="1">
      <c r="A10" s="81"/>
      <c r="B10" s="217" t="s">
        <v>151</v>
      </c>
      <c r="C10" s="217"/>
      <c r="D10" s="217"/>
      <c r="E10" s="217"/>
      <c r="F10" s="217"/>
      <c r="G10" s="15"/>
      <c r="H10" s="15"/>
      <c r="I10" s="34">
        <v>259436.38</v>
      </c>
      <c r="J10" s="66"/>
      <c r="K10" s="82">
        <f>I10+J10</f>
        <v>259436.38</v>
      </c>
    </row>
    <row r="11" spans="1:11" ht="15.75" customHeight="1">
      <c r="A11" s="81"/>
      <c r="B11" s="217" t="s">
        <v>152</v>
      </c>
      <c r="C11" s="217"/>
      <c r="D11" s="217"/>
      <c r="E11" s="217"/>
      <c r="F11" s="217"/>
      <c r="G11" s="15"/>
      <c r="H11" s="15"/>
      <c r="I11" s="16">
        <v>17455.17</v>
      </c>
      <c r="J11" s="66"/>
      <c r="K11" s="82">
        <f>I11+J11</f>
        <v>17455.17</v>
      </c>
    </row>
    <row r="12" spans="1:11" ht="15.75" customHeight="1">
      <c r="A12" s="25"/>
      <c r="B12" s="217" t="s">
        <v>153</v>
      </c>
      <c r="C12" s="217"/>
      <c r="D12" s="217"/>
      <c r="E12" s="217"/>
      <c r="F12" s="217"/>
      <c r="G12" s="15"/>
      <c r="H12" s="15"/>
      <c r="I12" s="34"/>
      <c r="J12" s="66">
        <v>0</v>
      </c>
      <c r="K12" s="82">
        <f>I12+J12</f>
        <v>0</v>
      </c>
    </row>
    <row r="13" spans="1:11" ht="15.75" customHeight="1">
      <c r="A13" s="25"/>
      <c r="B13" s="217" t="s">
        <v>154</v>
      </c>
      <c r="C13" s="217"/>
      <c r="D13" s="217"/>
      <c r="E13" s="217"/>
      <c r="F13" s="217"/>
      <c r="G13" s="15"/>
      <c r="H13" s="15"/>
      <c r="I13" s="34">
        <v>0</v>
      </c>
      <c r="J13" s="83">
        <v>0</v>
      </c>
      <c r="K13" s="82">
        <f>I13+J13</f>
        <v>0</v>
      </c>
    </row>
    <row r="14" spans="1:11" ht="15.75" customHeight="1">
      <c r="A14" s="25"/>
      <c r="B14" s="205" t="s">
        <v>155</v>
      </c>
      <c r="C14" s="205"/>
      <c r="D14" s="205"/>
      <c r="E14" s="205"/>
      <c r="F14" s="205"/>
      <c r="G14" s="15"/>
      <c r="H14" s="15"/>
      <c r="I14" s="84">
        <f>SUM(I10:I12)</f>
        <v>276891.55</v>
      </c>
      <c r="J14" s="85">
        <f>SUM(J10:J12)</f>
        <v>0</v>
      </c>
      <c r="K14" s="84">
        <f>SUM(K10:K13)</f>
        <v>276891.55</v>
      </c>
    </row>
    <row r="15" spans="1:11" ht="15.75" customHeight="1">
      <c r="A15" s="25">
        <v>2</v>
      </c>
      <c r="B15" s="254" t="s">
        <v>74</v>
      </c>
      <c r="C15" s="254"/>
      <c r="D15" s="254"/>
      <c r="E15" s="254"/>
      <c r="F15" s="254"/>
      <c r="G15" s="15"/>
      <c r="H15" s="15"/>
      <c r="I15" s="34"/>
      <c r="J15" s="66"/>
      <c r="K15" s="48"/>
    </row>
    <row r="16" spans="1:11" ht="18.75" customHeight="1">
      <c r="A16" s="25" t="s">
        <v>139</v>
      </c>
      <c r="B16" s="160" t="s">
        <v>75</v>
      </c>
      <c r="C16" s="160"/>
      <c r="D16" s="160"/>
      <c r="E16" s="160"/>
      <c r="F16" s="161"/>
      <c r="G16" s="159"/>
      <c r="H16" s="159"/>
      <c r="I16" s="159"/>
      <c r="J16" s="76"/>
      <c r="K16" s="80"/>
    </row>
    <row r="17" spans="1:11" ht="29.25" customHeight="1">
      <c r="A17" s="87"/>
      <c r="B17" s="178" t="s">
        <v>253</v>
      </c>
      <c r="C17" s="178"/>
      <c r="D17" s="178"/>
      <c r="E17" s="162" t="s">
        <v>32</v>
      </c>
      <c r="F17" s="69" t="s">
        <v>24</v>
      </c>
      <c r="G17" s="70">
        <v>1.06</v>
      </c>
      <c r="H17" s="70">
        <v>1.12</v>
      </c>
      <c r="I17" s="89">
        <f>ROUND($E$3*G17*6,2)+ROUND($E$3*H17*($L$7-6),2)</f>
        <v>26634.03</v>
      </c>
      <c r="J17" s="90"/>
      <c r="K17" s="91">
        <f>SUM(I17:J17)</f>
        <v>26634.03</v>
      </c>
    </row>
    <row r="18" spans="1:11" ht="15.75" customHeight="1">
      <c r="A18" s="25"/>
      <c r="B18" s="186" t="s">
        <v>17</v>
      </c>
      <c r="C18" s="186"/>
      <c r="D18" s="186"/>
      <c r="E18" s="162" t="s">
        <v>32</v>
      </c>
      <c r="F18" s="69" t="s">
        <v>19</v>
      </c>
      <c r="G18" s="70">
        <v>0.28</v>
      </c>
      <c r="H18" s="70">
        <v>0.3</v>
      </c>
      <c r="I18" s="89">
        <f>ROUND($E$3*G18*6,2)+ROUND($E$3*H18*($L$7-6),2)</f>
        <v>7050.19</v>
      </c>
      <c r="J18" s="90"/>
      <c r="K18" s="91">
        <f>SUM(I18:J18)</f>
        <v>7050.19</v>
      </c>
    </row>
    <row r="19" spans="1:11" ht="15.75" customHeight="1">
      <c r="A19" s="25"/>
      <c r="B19" s="177" t="s">
        <v>23</v>
      </c>
      <c r="C19" s="177"/>
      <c r="D19" s="177"/>
      <c r="E19" s="163" t="s">
        <v>157</v>
      </c>
      <c r="F19" s="71" t="s">
        <v>20</v>
      </c>
      <c r="G19" s="70">
        <v>0.39</v>
      </c>
      <c r="H19" s="70">
        <v>0.41</v>
      </c>
      <c r="I19" s="89">
        <f>K19-J19</f>
        <v>6521.44</v>
      </c>
      <c r="J19" s="90"/>
      <c r="K19" s="93">
        <v>6521.44</v>
      </c>
    </row>
    <row r="20" spans="1:11" ht="15.75" customHeight="1">
      <c r="A20" s="87"/>
      <c r="B20" s="178" t="s">
        <v>31</v>
      </c>
      <c r="C20" s="178"/>
      <c r="D20" s="178"/>
      <c r="E20" s="164" t="s">
        <v>9</v>
      </c>
      <c r="F20" s="72" t="s">
        <v>10</v>
      </c>
      <c r="G20" s="70">
        <v>0.51</v>
      </c>
      <c r="H20" s="70">
        <v>0.54</v>
      </c>
      <c r="I20" s="89">
        <f>ROUND($E$3*G20*6,2)+ROUND($E$3*H20*($L$7-6),2)</f>
        <v>12818.52</v>
      </c>
      <c r="J20" s="90"/>
      <c r="K20" s="91">
        <f>SUM(I20:J20)</f>
        <v>12818.52</v>
      </c>
    </row>
    <row r="21" spans="1:11" ht="38.25">
      <c r="A21" s="25"/>
      <c r="B21" s="177" t="s">
        <v>27</v>
      </c>
      <c r="C21" s="177"/>
      <c r="D21" s="177"/>
      <c r="E21" s="163" t="s">
        <v>158</v>
      </c>
      <c r="F21" s="71" t="s">
        <v>25</v>
      </c>
      <c r="G21" s="70">
        <v>0.12</v>
      </c>
      <c r="H21" s="70">
        <v>0.13</v>
      </c>
      <c r="I21" s="89">
        <f>K21-J21</f>
        <v>2460</v>
      </c>
      <c r="J21" s="90"/>
      <c r="K21" s="93">
        <v>2460</v>
      </c>
    </row>
    <row r="22" spans="1:11" ht="27.75" customHeight="1">
      <c r="A22" s="87"/>
      <c r="B22" s="177" t="s">
        <v>11</v>
      </c>
      <c r="C22" s="177"/>
      <c r="D22" s="177"/>
      <c r="E22" s="163" t="s">
        <v>9</v>
      </c>
      <c r="F22" s="71" t="s">
        <v>12</v>
      </c>
      <c r="G22" s="70">
        <v>0</v>
      </c>
      <c r="H22" s="70">
        <v>0</v>
      </c>
      <c r="I22" s="89">
        <f>ROUND($E$3*G22*6,2)+ROUND($E$3*H22*($L$7-6),2)</f>
        <v>0</v>
      </c>
      <c r="J22" s="90"/>
      <c r="K22" s="91">
        <f>SUM(I22:J22)</f>
        <v>0</v>
      </c>
    </row>
    <row r="23" spans="1:11" ht="15.75" customHeight="1">
      <c r="A23" s="87"/>
      <c r="B23" s="177" t="s">
        <v>26</v>
      </c>
      <c r="C23" s="182"/>
      <c r="D23" s="182"/>
      <c r="E23" s="165" t="s">
        <v>13</v>
      </c>
      <c r="F23" s="68" t="s">
        <v>14</v>
      </c>
      <c r="G23" s="70">
        <v>0.05</v>
      </c>
      <c r="H23" s="70">
        <v>0.05</v>
      </c>
      <c r="I23" s="89">
        <f>K23-J23</f>
        <v>2173.5</v>
      </c>
      <c r="J23" s="90"/>
      <c r="K23" s="93">
        <v>2173.5</v>
      </c>
    </row>
    <row r="24" spans="1:11" ht="54" customHeight="1">
      <c r="A24" s="25"/>
      <c r="B24" s="177" t="s">
        <v>159</v>
      </c>
      <c r="C24" s="177"/>
      <c r="D24" s="177"/>
      <c r="E24" s="88" t="s">
        <v>239</v>
      </c>
      <c r="F24" s="96" t="s">
        <v>77</v>
      </c>
      <c r="G24" s="70">
        <v>2.15</v>
      </c>
      <c r="H24" s="70">
        <v>2.28</v>
      </c>
      <c r="I24" s="89">
        <f aca="true" t="shared" si="0" ref="I24:I29">ROUND($E$3*G24*6,2)+ROUND($E$3*H24*($L$7-6),2)</f>
        <v>54051.43</v>
      </c>
      <c r="J24" s="90"/>
      <c r="K24" s="91">
        <f aca="true" t="shared" si="1" ref="K24:K29">SUM(I24:J24)</f>
        <v>54051.43</v>
      </c>
    </row>
    <row r="25" spans="1:11" ht="36.75" customHeight="1">
      <c r="A25" s="25"/>
      <c r="B25" s="186" t="s">
        <v>15</v>
      </c>
      <c r="C25" s="186"/>
      <c r="D25" s="186"/>
      <c r="E25" s="88" t="s">
        <v>140</v>
      </c>
      <c r="F25" s="96" t="s">
        <v>77</v>
      </c>
      <c r="G25" s="70">
        <v>0</v>
      </c>
      <c r="H25" s="70">
        <v>0</v>
      </c>
      <c r="I25" s="89">
        <f t="shared" si="0"/>
        <v>0</v>
      </c>
      <c r="J25" s="90"/>
      <c r="K25" s="91">
        <f t="shared" si="1"/>
        <v>0</v>
      </c>
    </row>
    <row r="26" spans="1:11" ht="31.5" customHeight="1">
      <c r="A26" s="25"/>
      <c r="B26" s="199" t="s">
        <v>37</v>
      </c>
      <c r="C26" s="184"/>
      <c r="D26" s="185"/>
      <c r="E26" s="162" t="s">
        <v>36</v>
      </c>
      <c r="F26" s="96" t="s">
        <v>77</v>
      </c>
      <c r="G26" s="98">
        <f>3.46-G27-G28</f>
        <v>3.46</v>
      </c>
      <c r="H26" s="70">
        <f>3.67-H27-H28</f>
        <v>3.67</v>
      </c>
      <c r="I26" s="89">
        <f t="shared" si="0"/>
        <v>86987.90000000001</v>
      </c>
      <c r="J26" s="99"/>
      <c r="K26" s="91">
        <f t="shared" si="1"/>
        <v>86987.90000000001</v>
      </c>
    </row>
    <row r="27" spans="1:14" ht="17.25" customHeight="1">
      <c r="A27" s="87"/>
      <c r="B27" s="177" t="s">
        <v>161</v>
      </c>
      <c r="C27" s="177"/>
      <c r="D27" s="177"/>
      <c r="E27" s="163" t="s">
        <v>9</v>
      </c>
      <c r="F27" s="96" t="s">
        <v>77</v>
      </c>
      <c r="G27" s="98">
        <v>0</v>
      </c>
      <c r="H27" s="70">
        <v>0</v>
      </c>
      <c r="I27" s="89">
        <f t="shared" si="0"/>
        <v>0</v>
      </c>
      <c r="J27" s="99"/>
      <c r="K27" s="91">
        <f t="shared" si="1"/>
        <v>0</v>
      </c>
      <c r="N27" t="s">
        <v>254</v>
      </c>
    </row>
    <row r="28" spans="1:11" ht="15.75">
      <c r="A28" s="25"/>
      <c r="B28" s="177" t="s">
        <v>162</v>
      </c>
      <c r="C28" s="177"/>
      <c r="D28" s="177"/>
      <c r="E28" s="163" t="s">
        <v>9</v>
      </c>
      <c r="F28" s="96" t="s">
        <v>77</v>
      </c>
      <c r="G28" s="98">
        <v>0</v>
      </c>
      <c r="H28" s="70">
        <v>0</v>
      </c>
      <c r="I28" s="89">
        <f t="shared" si="0"/>
        <v>0</v>
      </c>
      <c r="J28" s="99"/>
      <c r="K28" s="91">
        <f t="shared" si="1"/>
        <v>0</v>
      </c>
    </row>
    <row r="29" spans="1:11" ht="25.5">
      <c r="A29" s="25"/>
      <c r="B29" s="182" t="s">
        <v>21</v>
      </c>
      <c r="C29" s="182"/>
      <c r="D29" s="182"/>
      <c r="E29" s="92" t="s">
        <v>36</v>
      </c>
      <c r="F29" s="96" t="s">
        <v>77</v>
      </c>
      <c r="G29" s="68">
        <v>1.06</v>
      </c>
      <c r="H29" s="70">
        <v>1.12</v>
      </c>
      <c r="I29" s="89">
        <f t="shared" si="0"/>
        <v>26634.03</v>
      </c>
      <c r="J29" s="90"/>
      <c r="K29" s="91">
        <f t="shared" si="1"/>
        <v>26634.03</v>
      </c>
    </row>
    <row r="30" spans="1:11" ht="15.75" customHeight="1">
      <c r="A30" s="25"/>
      <c r="B30" s="190"/>
      <c r="C30" s="191"/>
      <c r="D30" s="192"/>
      <c r="E30" s="163"/>
      <c r="F30" s="96"/>
      <c r="G30" s="68"/>
      <c r="H30" s="68"/>
      <c r="I30" s="97"/>
      <c r="J30" s="83"/>
      <c r="K30" s="100"/>
    </row>
    <row r="31" spans="1:11" ht="15.75">
      <c r="A31" s="25"/>
      <c r="B31" s="255" t="s">
        <v>30</v>
      </c>
      <c r="C31" s="255"/>
      <c r="D31" s="255"/>
      <c r="E31" s="25"/>
      <c r="F31" s="96"/>
      <c r="G31" s="26">
        <f>SUM(G17:G29)</f>
        <v>9.08</v>
      </c>
      <c r="H31" s="26">
        <f>SUM(H17:H29)</f>
        <v>9.620000000000001</v>
      </c>
      <c r="I31" s="109">
        <f>SUM(I17:I30)</f>
        <v>225331.04</v>
      </c>
      <c r="J31" s="85"/>
      <c r="K31" s="109">
        <f>SUM(K17:K30)</f>
        <v>225331.04</v>
      </c>
    </row>
    <row r="32" spans="1:11" ht="16.5" customHeight="1" hidden="1">
      <c r="A32" s="25"/>
      <c r="B32" s="183" t="s">
        <v>163</v>
      </c>
      <c r="C32" s="184"/>
      <c r="D32" s="185"/>
      <c r="E32" s="163" t="s">
        <v>9</v>
      </c>
      <c r="F32" s="96"/>
      <c r="G32" s="68"/>
      <c r="H32" s="68"/>
      <c r="I32" s="97"/>
      <c r="J32" s="83"/>
      <c r="K32" s="100"/>
    </row>
    <row r="33" spans="1:11" ht="25.5" hidden="1">
      <c r="A33" s="25"/>
      <c r="B33" s="183" t="s">
        <v>164</v>
      </c>
      <c r="C33" s="184"/>
      <c r="D33" s="185"/>
      <c r="E33" s="162" t="s">
        <v>36</v>
      </c>
      <c r="F33" s="96"/>
      <c r="G33" s="68"/>
      <c r="H33" s="68"/>
      <c r="I33" s="97"/>
      <c r="J33" s="83"/>
      <c r="K33" s="100"/>
    </row>
    <row r="34" spans="1:11" ht="15.75">
      <c r="A34" s="25"/>
      <c r="B34" s="190"/>
      <c r="C34" s="191"/>
      <c r="D34" s="192"/>
      <c r="E34" s="163"/>
      <c r="F34" s="96"/>
      <c r="G34" s="68"/>
      <c r="H34" s="68"/>
      <c r="I34" s="97"/>
      <c r="J34" s="83"/>
      <c r="K34" s="100"/>
    </row>
    <row r="35" spans="1:11" ht="16.5" customHeight="1">
      <c r="A35" s="25" t="s">
        <v>165</v>
      </c>
      <c r="B35" s="193" t="s">
        <v>166</v>
      </c>
      <c r="C35" s="180"/>
      <c r="D35" s="180"/>
      <c r="E35" s="181"/>
      <c r="F35" s="96" t="s">
        <v>77</v>
      </c>
      <c r="G35" s="26">
        <f>I35/E3/6</f>
        <v>13.318495426929163</v>
      </c>
      <c r="H35" s="26">
        <f>I35/E3/1</f>
        <v>79.91097256157498</v>
      </c>
      <c r="I35" s="166">
        <v>284539</v>
      </c>
      <c r="J35" s="104"/>
      <c r="K35" s="109">
        <f>SUM(I35+J35)</f>
        <v>284539</v>
      </c>
    </row>
    <row r="36" spans="1:14" ht="15.75" customHeight="1">
      <c r="A36" s="28"/>
      <c r="B36" s="187" t="s">
        <v>76</v>
      </c>
      <c r="C36" s="187"/>
      <c r="D36" s="187"/>
      <c r="E36" s="187"/>
      <c r="F36" s="187"/>
      <c r="G36" s="26">
        <f>SUM(G31:G35)</f>
        <v>22.398495426929163</v>
      </c>
      <c r="H36" s="26">
        <f>SUM(H31:H35)</f>
        <v>89.53097256157498</v>
      </c>
      <c r="I36" s="167">
        <f>SUM(I31:I35)</f>
        <v>509870.04000000004</v>
      </c>
      <c r="J36" s="168"/>
      <c r="K36" s="168">
        <f>SUM(K31:K35)</f>
        <v>509870.04000000004</v>
      </c>
      <c r="N36" t="s">
        <v>254</v>
      </c>
    </row>
    <row r="37" spans="1:11" ht="15.75" customHeight="1">
      <c r="A37" s="25" t="s">
        <v>141</v>
      </c>
      <c r="B37" s="187" t="s">
        <v>167</v>
      </c>
      <c r="C37" s="187"/>
      <c r="D37" s="187"/>
      <c r="E37" s="187"/>
      <c r="F37" s="187"/>
      <c r="G37" s="26"/>
      <c r="H37" s="26"/>
      <c r="I37" s="107">
        <v>0</v>
      </c>
      <c r="J37" s="107"/>
      <c r="K37" s="169">
        <f>SUM(I37:J37)</f>
        <v>0</v>
      </c>
    </row>
    <row r="38" spans="1:11" ht="15.75" customHeight="1">
      <c r="A38" s="28"/>
      <c r="B38" s="187" t="s">
        <v>168</v>
      </c>
      <c r="C38" s="187"/>
      <c r="D38" s="187"/>
      <c r="E38" s="187"/>
      <c r="F38" s="187"/>
      <c r="G38" s="26">
        <f>SUM(G36:G37)</f>
        <v>22.398495426929163</v>
      </c>
      <c r="H38" s="26">
        <f>SUM(H36:H37)</f>
        <v>89.53097256157498</v>
      </c>
      <c r="I38" s="167">
        <f>SUM(I36:I37)</f>
        <v>509870.04000000004</v>
      </c>
      <c r="J38" s="168"/>
      <c r="K38" s="168">
        <f>SUM(K36:K37)</f>
        <v>509870.04000000004</v>
      </c>
    </row>
    <row r="39" spans="1:11" ht="30" customHeight="1">
      <c r="A39" s="25">
        <v>3</v>
      </c>
      <c r="B39" s="257" t="s">
        <v>255</v>
      </c>
      <c r="C39" s="257"/>
      <c r="D39" s="257"/>
      <c r="E39" s="257"/>
      <c r="F39" s="170"/>
      <c r="G39" s="170"/>
      <c r="H39" s="171"/>
      <c r="I39" s="89">
        <f>I14-I38</f>
        <v>-232978.49000000005</v>
      </c>
      <c r="J39" s="89"/>
      <c r="K39" s="85">
        <f>K14-K38</f>
        <v>-232978.49000000005</v>
      </c>
    </row>
    <row r="40" spans="2:11" ht="15" customHeight="1">
      <c r="B40" s="127"/>
      <c r="C40" s="172"/>
      <c r="D40" s="172"/>
      <c r="E40" s="172"/>
      <c r="F40" s="172"/>
      <c r="G40" s="172"/>
      <c r="H40" s="172"/>
      <c r="I40" s="173"/>
      <c r="J40" s="174"/>
      <c r="K40" s="175"/>
    </row>
    <row r="41" spans="3:7" ht="15.75" customHeight="1">
      <c r="C41" s="37"/>
      <c r="G41" s="37"/>
    </row>
    <row r="42" spans="1:7" ht="15.75">
      <c r="A42" s="61" t="s">
        <v>256</v>
      </c>
      <c r="D42" s="61"/>
      <c r="E42" s="61"/>
      <c r="F42" s="37"/>
      <c r="G42" s="37"/>
    </row>
    <row r="43" spans="1:5" ht="15.75">
      <c r="A43" s="61"/>
      <c r="D43" s="61"/>
      <c r="E43" s="61"/>
    </row>
    <row r="44" spans="1:6" ht="15.75">
      <c r="A44" s="110" t="s">
        <v>257</v>
      </c>
      <c r="D44" s="110"/>
      <c r="E44" s="258" t="s">
        <v>258</v>
      </c>
      <c r="F44" s="258"/>
    </row>
    <row r="45" spans="1:5" ht="15.75" customHeight="1">
      <c r="A45" s="110" t="s">
        <v>173</v>
      </c>
      <c r="D45" s="176"/>
      <c r="E45" s="176"/>
    </row>
    <row r="46" spans="1:2" ht="15.75">
      <c r="A46" s="256" t="s">
        <v>259</v>
      </c>
      <c r="B46" s="256"/>
    </row>
  </sheetData>
  <mergeCells count="37">
    <mergeCell ref="A46:B46"/>
    <mergeCell ref="B37:F37"/>
    <mergeCell ref="B38:F38"/>
    <mergeCell ref="B39:E39"/>
    <mergeCell ref="E44:F44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/>
  <pageMargins left="0.77" right="0.1968503937007874" top="0" bottom="0" header="0.5118110236220472" footer="0.5118110236220472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">
      <selection activeCell="H17" sqref="H17"/>
    </sheetView>
  </sheetViews>
  <sheetFormatPr defaultColWidth="9.00390625" defaultRowHeight="15.75"/>
  <cols>
    <col min="1" max="1" width="11.875" style="0" customWidth="1"/>
    <col min="2" max="2" width="13.375" style="0" customWidth="1"/>
    <col min="3" max="3" width="12.25390625" style="0" customWidth="1"/>
    <col min="4" max="4" width="10.50390625" style="0" customWidth="1"/>
    <col min="5" max="5" width="12.375" style="0" customWidth="1"/>
    <col min="6" max="6" width="12.75390625" style="0" customWidth="1"/>
    <col min="7" max="7" width="10.375" style="0" customWidth="1"/>
    <col min="8" max="8" width="12.75390625" style="0" customWidth="1"/>
    <col min="9" max="9" width="11.625" style="0" customWidth="1"/>
    <col min="10" max="10" width="11.125" style="0" customWidth="1"/>
    <col min="11" max="11" width="9.875" style="0" customWidth="1"/>
    <col min="12" max="12" width="11.875" style="0" customWidth="1"/>
    <col min="13" max="13" width="12.25390625" style="0" customWidth="1"/>
    <col min="14" max="14" width="10.75390625" style="0" customWidth="1"/>
    <col min="15" max="15" width="11.125" style="0" customWidth="1"/>
    <col min="16" max="16" width="10.875" style="0" customWidth="1"/>
    <col min="17" max="17" width="9.875" style="0" bestFit="1" customWidth="1"/>
    <col min="18" max="18" width="12.625" style="0" customWidth="1"/>
    <col min="19" max="19" width="11.875" style="0" customWidth="1"/>
  </cols>
  <sheetData>
    <row r="1" spans="1:19" ht="94.5" customHeight="1">
      <c r="A1" s="263" t="s">
        <v>215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19" ht="15.75" customHeight="1">
      <c r="A2" s="235" t="s">
        <v>174</v>
      </c>
      <c r="B2" s="255" t="s">
        <v>175</v>
      </c>
      <c r="C2" s="255" t="s">
        <v>176</v>
      </c>
      <c r="D2" s="255"/>
      <c r="E2" s="255"/>
      <c r="F2" s="255"/>
      <c r="G2" s="255"/>
      <c r="H2" s="255"/>
      <c r="I2" s="255"/>
      <c r="J2" s="264" t="s">
        <v>177</v>
      </c>
      <c r="K2" s="264"/>
      <c r="L2" s="264"/>
      <c r="M2" s="265" t="s">
        <v>178</v>
      </c>
      <c r="N2" s="255" t="s">
        <v>179</v>
      </c>
      <c r="O2" s="255"/>
      <c r="P2" s="255"/>
      <c r="Q2" s="255"/>
      <c r="R2" s="255"/>
      <c r="S2" s="221" t="s">
        <v>180</v>
      </c>
    </row>
    <row r="3" spans="1:19" ht="15.75">
      <c r="A3" s="255"/>
      <c r="B3" s="255"/>
      <c r="C3" s="179" t="s">
        <v>181</v>
      </c>
      <c r="D3" s="222"/>
      <c r="E3" s="223"/>
      <c r="F3" s="179" t="s">
        <v>182</v>
      </c>
      <c r="G3" s="222"/>
      <c r="H3" s="223"/>
      <c r="I3" s="235" t="s">
        <v>183</v>
      </c>
      <c r="J3" s="259" t="s">
        <v>184</v>
      </c>
      <c r="K3" s="261" t="s">
        <v>185</v>
      </c>
      <c r="L3" s="259" t="s">
        <v>186</v>
      </c>
      <c r="M3" s="266"/>
      <c r="N3" s="235" t="s">
        <v>187</v>
      </c>
      <c r="O3" s="255" t="s">
        <v>188</v>
      </c>
      <c r="P3" s="255" t="s">
        <v>189</v>
      </c>
      <c r="Q3" s="255" t="s">
        <v>190</v>
      </c>
      <c r="R3" s="255" t="s">
        <v>191</v>
      </c>
      <c r="S3" s="221"/>
    </row>
    <row r="4" spans="1:19" ht="47.25" customHeight="1">
      <c r="A4" s="255"/>
      <c r="B4" s="255"/>
      <c r="C4" s="11" t="s">
        <v>192</v>
      </c>
      <c r="D4" s="25" t="s">
        <v>190</v>
      </c>
      <c r="E4" s="25" t="s">
        <v>191</v>
      </c>
      <c r="F4" s="11" t="s">
        <v>192</v>
      </c>
      <c r="G4" s="25" t="s">
        <v>190</v>
      </c>
      <c r="H4" s="25" t="s">
        <v>191</v>
      </c>
      <c r="I4" s="235"/>
      <c r="J4" s="260"/>
      <c r="K4" s="262"/>
      <c r="L4" s="260"/>
      <c r="M4" s="267"/>
      <c r="N4" s="255"/>
      <c r="O4" s="255"/>
      <c r="P4" s="255"/>
      <c r="Q4" s="255"/>
      <c r="R4" s="255"/>
      <c r="S4" s="221"/>
    </row>
    <row r="5" spans="1:19" ht="31.5">
      <c r="A5" s="25">
        <v>1</v>
      </c>
      <c r="B5" s="25">
        <v>2</v>
      </c>
      <c r="C5" s="11">
        <v>3</v>
      </c>
      <c r="D5" s="25">
        <v>4</v>
      </c>
      <c r="E5" s="25" t="s">
        <v>193</v>
      </c>
      <c r="F5" s="11">
        <v>6</v>
      </c>
      <c r="G5" s="25">
        <v>7</v>
      </c>
      <c r="H5" s="25" t="s">
        <v>194</v>
      </c>
      <c r="I5" s="11" t="s">
        <v>195</v>
      </c>
      <c r="J5" s="25">
        <v>10</v>
      </c>
      <c r="K5" s="25">
        <v>11</v>
      </c>
      <c r="L5" s="11">
        <v>12</v>
      </c>
      <c r="M5" s="11" t="s">
        <v>196</v>
      </c>
      <c r="N5" s="25">
        <v>14</v>
      </c>
      <c r="O5" s="11">
        <v>15</v>
      </c>
      <c r="P5" s="25">
        <v>16</v>
      </c>
      <c r="Q5" s="25">
        <v>17</v>
      </c>
      <c r="R5" s="11" t="s">
        <v>197</v>
      </c>
      <c r="S5" s="111" t="s">
        <v>198</v>
      </c>
    </row>
    <row r="6" spans="1:19" ht="15.75">
      <c r="A6" s="82"/>
      <c r="B6" s="43" t="s">
        <v>199</v>
      </c>
      <c r="C6" s="82">
        <f>'2008'!D13</f>
        <v>265105.07</v>
      </c>
      <c r="D6" s="82">
        <f>'2008'!D17</f>
        <v>18567.73</v>
      </c>
      <c r="E6" s="82">
        <f>SUM(C6:D6)</f>
        <v>283672.8</v>
      </c>
      <c r="F6" s="82">
        <f>'2008'!D14</f>
        <v>258287.1</v>
      </c>
      <c r="G6" s="82">
        <f>'2008'!D18</f>
        <v>18455.9</v>
      </c>
      <c r="H6" s="82">
        <f>SUM(F6:G6)</f>
        <v>276743</v>
      </c>
      <c r="I6" s="45">
        <f>E6-H6</f>
        <v>6929.799999999988</v>
      </c>
      <c r="J6" s="82">
        <v>0</v>
      </c>
      <c r="K6" s="82">
        <v>0</v>
      </c>
      <c r="L6" s="82">
        <v>0</v>
      </c>
      <c r="M6" s="82">
        <f>H6+J6+K6+L6</f>
        <v>276743</v>
      </c>
      <c r="N6" s="82">
        <f>'2008'!D27</f>
        <v>29161.5577</v>
      </c>
      <c r="O6" s="82">
        <f>'2008'!D28</f>
        <v>185573.549</v>
      </c>
      <c r="P6" s="82">
        <f>'2008'!D29</f>
        <v>50500</v>
      </c>
      <c r="Q6" s="45">
        <v>0</v>
      </c>
      <c r="R6" s="82">
        <f>SUM(N6:Q6)</f>
        <v>265235.1067</v>
      </c>
      <c r="S6" s="82">
        <f aca="true" t="shared" si="0" ref="S6:S11">M6-R6</f>
        <v>11507.893299999996</v>
      </c>
    </row>
    <row r="7" spans="1:19" ht="15.75">
      <c r="A7" s="82">
        <f>S6</f>
        <v>11507.893299999996</v>
      </c>
      <c r="B7" s="43" t="s">
        <v>200</v>
      </c>
      <c r="C7" s="82">
        <v>374823.69</v>
      </c>
      <c r="D7" s="82">
        <v>25392.61</v>
      </c>
      <c r="E7" s="82">
        <f>SUM(C7:D7)</f>
        <v>400216.3</v>
      </c>
      <c r="F7" s="82">
        <v>381655.64</v>
      </c>
      <c r="G7" s="82">
        <v>25984.95</v>
      </c>
      <c r="H7" s="82">
        <f>SUM(F7:G7)</f>
        <v>407640.59</v>
      </c>
      <c r="I7" s="45">
        <f>E7-H7</f>
        <v>-7424.290000000037</v>
      </c>
      <c r="J7" s="82">
        <v>0</v>
      </c>
      <c r="K7" s="82">
        <v>0</v>
      </c>
      <c r="L7" s="82">
        <v>0</v>
      </c>
      <c r="M7" s="82">
        <f>H7+J7+K7+L7</f>
        <v>407640.59</v>
      </c>
      <c r="N7" s="82">
        <f>'отчет 2009'!H31</f>
        <v>37659.07</v>
      </c>
      <c r="O7" s="82">
        <f>'отчет 2009'!H32-'отчет 2009'!H31</f>
        <v>299988.74</v>
      </c>
      <c r="P7" s="82">
        <f>'отчет 2009'!H33</f>
        <v>45300</v>
      </c>
      <c r="Q7" s="45">
        <v>0</v>
      </c>
      <c r="R7" s="82">
        <f>SUM(N7:Q7)</f>
        <v>382947.81</v>
      </c>
      <c r="S7" s="82">
        <f t="shared" si="0"/>
        <v>24692.780000000028</v>
      </c>
    </row>
    <row r="8" spans="1:19" ht="15.75">
      <c r="A8" s="82">
        <f>A7+S7</f>
        <v>36200.673300000024</v>
      </c>
      <c r="B8" s="43" t="s">
        <v>201</v>
      </c>
      <c r="C8" s="82">
        <v>392935.68</v>
      </c>
      <c r="D8" s="82">
        <v>26065.68</v>
      </c>
      <c r="E8" s="82">
        <f>SUM(C8:D8)</f>
        <v>419001.36</v>
      </c>
      <c r="F8" s="82">
        <v>368299.21</v>
      </c>
      <c r="G8" s="82">
        <v>25052.68</v>
      </c>
      <c r="H8" s="82">
        <f>SUM(F8:G8)</f>
        <v>393351.89</v>
      </c>
      <c r="I8" s="45">
        <f>E8-H8</f>
        <v>25649.469999999972</v>
      </c>
      <c r="J8" s="82">
        <v>0</v>
      </c>
      <c r="K8" s="82">
        <v>0</v>
      </c>
      <c r="L8" s="82">
        <v>0</v>
      </c>
      <c r="M8" s="82">
        <f>H8+J8+K8+L8</f>
        <v>393351.89</v>
      </c>
      <c r="N8" s="82">
        <f>'отчет 2010'!J29</f>
        <v>39370.85</v>
      </c>
      <c r="O8" s="82">
        <f>'отчет 2010'!J34-'отчет 2010'!J29</f>
        <v>306995.89</v>
      </c>
      <c r="P8" s="82">
        <f>'отчет 2010'!H35</f>
        <v>31450</v>
      </c>
      <c r="Q8" s="45">
        <v>0</v>
      </c>
      <c r="R8" s="82">
        <f>SUM(N8:Q8)</f>
        <v>377816.74</v>
      </c>
      <c r="S8" s="82">
        <f t="shared" si="0"/>
        <v>15535.150000000023</v>
      </c>
    </row>
    <row r="9" spans="1:19" ht="15.75">
      <c r="A9" s="82">
        <f>A8+S8</f>
        <v>51735.82330000005</v>
      </c>
      <c r="B9" s="43" t="s">
        <v>202</v>
      </c>
      <c r="C9" s="82">
        <v>444896.01</v>
      </c>
      <c r="D9" s="82">
        <v>30020.28</v>
      </c>
      <c r="E9" s="82">
        <f>SUM(C9:D9)</f>
        <v>474916.29000000004</v>
      </c>
      <c r="F9" s="82">
        <f>'отчет 2011'!J10</f>
        <v>433173.11</v>
      </c>
      <c r="G9" s="82">
        <f>'отчет 2011'!J11</f>
        <v>28516.21</v>
      </c>
      <c r="H9" s="82">
        <f>SUM(F9:G9)</f>
        <v>461689.32</v>
      </c>
      <c r="I9" s="45">
        <f>E9-H9</f>
        <v>13226.97000000003</v>
      </c>
      <c r="J9" s="82">
        <v>0</v>
      </c>
      <c r="K9" s="82">
        <v>0</v>
      </c>
      <c r="L9" s="82">
        <v>0</v>
      </c>
      <c r="M9" s="82">
        <f>H9+J9+K9+L9</f>
        <v>461689.32</v>
      </c>
      <c r="N9" s="82">
        <f>'отчет 2011'!J29</f>
        <v>45362.06</v>
      </c>
      <c r="O9" s="82">
        <f>'отчет 2011'!J32-'отчет 2011'!J29</f>
        <v>349597.87</v>
      </c>
      <c r="P9" s="82">
        <f>'отчет 2011'!J36</f>
        <v>29808</v>
      </c>
      <c r="Q9" s="124">
        <f>'отчет 2011'!J38</f>
        <v>0</v>
      </c>
      <c r="R9" s="82">
        <f>SUM(N9:Q9)</f>
        <v>424767.93</v>
      </c>
      <c r="S9" s="82">
        <f t="shared" si="0"/>
        <v>36921.390000000014</v>
      </c>
    </row>
    <row r="10" spans="1:19" ht="15.75">
      <c r="A10" s="82">
        <f>A9+S9</f>
        <v>88657.21330000006</v>
      </c>
      <c r="B10" s="43" t="s">
        <v>262</v>
      </c>
      <c r="C10" s="82">
        <v>258016.79</v>
      </c>
      <c r="D10" s="82">
        <v>17681.7</v>
      </c>
      <c r="E10" s="82">
        <f>SUM(C10:D10)</f>
        <v>275698.49</v>
      </c>
      <c r="F10" s="152">
        <v>259436.38</v>
      </c>
      <c r="G10" s="152">
        <v>17455.17</v>
      </c>
      <c r="H10" s="82">
        <f>SUM(F10:G10)</f>
        <v>276891.55</v>
      </c>
      <c r="I10" s="45">
        <f>E10-H10</f>
        <v>-1193.0599999999977</v>
      </c>
      <c r="J10" s="82">
        <v>0</v>
      </c>
      <c r="K10" s="82">
        <v>0</v>
      </c>
      <c r="L10" s="82">
        <v>0</v>
      </c>
      <c r="M10" s="82">
        <f>H10+J10+K10+L10</f>
        <v>276891.55</v>
      </c>
      <c r="N10" s="82">
        <f>'отчет 2012 стар'!K29</f>
        <v>26634.03</v>
      </c>
      <c r="O10" s="82">
        <f>'отчет 2012 стар'!K31-'отчет 2012 стар'!K29</f>
        <v>198697.01</v>
      </c>
      <c r="P10" s="154">
        <f>'отчет 2012 стар'!K35</f>
        <v>284539</v>
      </c>
      <c r="Q10" s="153">
        <f>'отчет 2012 стар'!K37</f>
        <v>0</v>
      </c>
      <c r="R10" s="82">
        <f>SUM(N10:Q10)</f>
        <v>509870.04000000004</v>
      </c>
      <c r="S10" s="82">
        <f t="shared" si="0"/>
        <v>-232978.49000000005</v>
      </c>
    </row>
    <row r="11" spans="1:19" ht="15.75">
      <c r="A11" s="82"/>
      <c r="B11" s="43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48"/>
      <c r="Q11" s="38"/>
      <c r="R11" s="48"/>
      <c r="S11" s="82">
        <f t="shared" si="0"/>
        <v>0</v>
      </c>
    </row>
    <row r="12" spans="1:19" ht="15.75">
      <c r="A12" s="82"/>
      <c r="B12" s="43" t="s">
        <v>203</v>
      </c>
      <c r="C12" s="82">
        <f>SUM(C6:C11)</f>
        <v>1735777.24</v>
      </c>
      <c r="D12" s="82">
        <f>SUM(D6:D11)</f>
        <v>117727.99999999999</v>
      </c>
      <c r="E12" s="82">
        <f>C12+D12</f>
        <v>1853505.24</v>
      </c>
      <c r="F12" s="82">
        <f>SUM(F6:F11)</f>
        <v>1700851.44</v>
      </c>
      <c r="G12" s="82">
        <f>SUM(G6:G11)</f>
        <v>115464.90999999999</v>
      </c>
      <c r="H12" s="82">
        <f>F12+G12</f>
        <v>1816316.3499999999</v>
      </c>
      <c r="I12" s="82">
        <f>E12-H12</f>
        <v>37188.89000000013</v>
      </c>
      <c r="J12" s="82">
        <f>J6+J7+J8</f>
        <v>0</v>
      </c>
      <c r="K12" s="82">
        <f>K6+K7+K8</f>
        <v>0</v>
      </c>
      <c r="L12" s="82">
        <f>L6+L7+L8</f>
        <v>0</v>
      </c>
      <c r="M12" s="82">
        <f>H12+J12+K12+L12</f>
        <v>1816316.3499999999</v>
      </c>
      <c r="N12" s="82">
        <f>SUM(N6:N11)</f>
        <v>178187.56769999999</v>
      </c>
      <c r="O12" s="82">
        <f>SUM(O6:O11)</f>
        <v>1340853.0590000001</v>
      </c>
      <c r="P12" s="82">
        <f>SUM(P6:P11)</f>
        <v>441597</v>
      </c>
      <c r="Q12" s="45">
        <f>SUM(Q6:Q11)</f>
        <v>0</v>
      </c>
      <c r="R12" s="82">
        <f>N12+O12+P12+Q12</f>
        <v>1960637.6267000001</v>
      </c>
      <c r="S12" s="82">
        <f>SUM(S6:S11)</f>
        <v>-144321.2767</v>
      </c>
    </row>
    <row r="15" spans="2:11" ht="18.75">
      <c r="B15" s="268" t="s">
        <v>263</v>
      </c>
      <c r="C15" s="268"/>
      <c r="D15" s="268"/>
      <c r="E15" s="268"/>
      <c r="F15" s="268"/>
      <c r="G15" s="268"/>
      <c r="H15" s="268"/>
      <c r="I15" s="268"/>
      <c r="J15" s="268"/>
      <c r="K15" s="268"/>
    </row>
    <row r="18" spans="2:11" ht="33" customHeight="1">
      <c r="B18" s="269" t="s">
        <v>264</v>
      </c>
      <c r="C18" s="270"/>
      <c r="D18" s="270"/>
      <c r="E18" s="270"/>
      <c r="F18" s="270"/>
      <c r="G18" s="270"/>
      <c r="H18" s="270"/>
      <c r="I18" s="270"/>
      <c r="J18" s="270"/>
      <c r="K18" s="270"/>
    </row>
    <row r="20" spans="2:11" ht="18.75">
      <c r="B20" s="270" t="s">
        <v>265</v>
      </c>
      <c r="C20" s="270"/>
      <c r="D20" s="270"/>
      <c r="E20" s="270"/>
      <c r="F20" s="270"/>
      <c r="G20" s="270"/>
      <c r="H20" s="270"/>
      <c r="I20" s="270"/>
      <c r="J20" s="270"/>
      <c r="K20" s="270"/>
    </row>
    <row r="21" spans="2:3" ht="15.75">
      <c r="B21" s="256"/>
      <c r="C21" s="256"/>
    </row>
    <row r="23" spans="2:3" ht="15.75">
      <c r="B23" s="256" t="s">
        <v>259</v>
      </c>
      <c r="C23" s="256"/>
    </row>
  </sheetData>
  <mergeCells count="24">
    <mergeCell ref="B23:C23"/>
    <mergeCell ref="B15:K15"/>
    <mergeCell ref="B18:K18"/>
    <mergeCell ref="B20:K20"/>
    <mergeCell ref="B21:C21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I3:I4"/>
    <mergeCell ref="J3:J4"/>
    <mergeCell ref="K3:K4"/>
    <mergeCell ref="L3:L4"/>
    <mergeCell ref="R3:R4"/>
    <mergeCell ref="N3:N4"/>
    <mergeCell ref="O3:O4"/>
    <mergeCell ref="P3:P4"/>
    <mergeCell ref="Q3:Q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2" sqref="A2:H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85.5" customHeight="1">
      <c r="A1" s="208" t="s">
        <v>216</v>
      </c>
      <c r="B1" s="208"/>
      <c r="C1" s="208"/>
      <c r="D1" s="208"/>
      <c r="E1" s="208"/>
      <c r="F1" s="208"/>
      <c r="G1" s="208"/>
      <c r="H1" s="208"/>
    </row>
    <row r="2" spans="1:8" ht="61.5" customHeight="1">
      <c r="A2" s="209" t="s">
        <v>85</v>
      </c>
      <c r="B2" s="209"/>
      <c r="C2" s="209"/>
      <c r="D2" s="209"/>
      <c r="E2" s="209"/>
      <c r="F2" s="209"/>
      <c r="G2" s="209"/>
      <c r="H2" s="209"/>
    </row>
    <row r="3" spans="1:6" ht="18.75">
      <c r="A3" t="s">
        <v>84</v>
      </c>
      <c r="B3" s="1" t="s">
        <v>83</v>
      </c>
      <c r="C3" s="2"/>
      <c r="D3" s="2" t="s">
        <v>0</v>
      </c>
      <c r="E3" s="29">
        <v>3566.2</v>
      </c>
      <c r="F3" s="2"/>
    </row>
    <row r="4" spans="2:6" ht="15.75">
      <c r="B4" s="3" t="s">
        <v>1</v>
      </c>
      <c r="C4" s="30">
        <v>5</v>
      </c>
      <c r="D4" s="2" t="s">
        <v>2</v>
      </c>
      <c r="E4" s="30">
        <v>80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4" t="s">
        <v>61</v>
      </c>
      <c r="B7" s="218"/>
      <c r="C7" s="218"/>
      <c r="D7" s="218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5"/>
      <c r="B8" s="219" t="s">
        <v>65</v>
      </c>
      <c r="C8" s="220"/>
      <c r="D8" s="220"/>
      <c r="E8" s="220"/>
      <c r="F8" s="221"/>
      <c r="G8" s="15"/>
      <c r="H8" s="16"/>
    </row>
    <row r="9" spans="1:8" ht="15.75">
      <c r="A9" s="25"/>
      <c r="B9" s="205" t="s">
        <v>66</v>
      </c>
      <c r="C9" s="205"/>
      <c r="D9" s="205"/>
      <c r="E9" s="205"/>
      <c r="F9" s="205"/>
      <c r="G9" s="15"/>
      <c r="H9" s="33">
        <v>29249.14</v>
      </c>
    </row>
    <row r="10" spans="1:8" ht="15.75">
      <c r="A10" s="25">
        <v>1</v>
      </c>
      <c r="B10" s="217" t="s">
        <v>63</v>
      </c>
      <c r="C10" s="217"/>
      <c r="D10" s="217"/>
      <c r="E10" s="217"/>
      <c r="F10" s="217"/>
      <c r="G10" s="15"/>
      <c r="H10" s="16">
        <v>374823.69</v>
      </c>
    </row>
    <row r="11" spans="1:8" ht="15.75">
      <c r="A11" s="25"/>
      <c r="B11" s="217" t="s">
        <v>67</v>
      </c>
      <c r="C11" s="217"/>
      <c r="D11" s="217"/>
      <c r="E11" s="217"/>
      <c r="F11" s="217"/>
      <c r="G11" s="15"/>
      <c r="H11" s="16">
        <f>H10*0.9</f>
        <v>337341.321</v>
      </c>
    </row>
    <row r="12" spans="1:8" ht="15.75" customHeight="1">
      <c r="A12" s="25"/>
      <c r="B12" s="217" t="s">
        <v>68</v>
      </c>
      <c r="C12" s="217"/>
      <c r="D12" s="217"/>
      <c r="E12" s="217"/>
      <c r="F12" s="217"/>
      <c r="G12" s="15"/>
      <c r="H12" s="16">
        <f>H10-H11</f>
        <v>37482.369000000006</v>
      </c>
    </row>
    <row r="13" spans="1:8" ht="15.75" customHeight="1">
      <c r="A13" s="25">
        <v>2</v>
      </c>
      <c r="B13" s="217" t="s">
        <v>64</v>
      </c>
      <c r="C13" s="217"/>
      <c r="D13" s="217"/>
      <c r="E13" s="217"/>
      <c r="F13" s="217"/>
      <c r="G13" s="15"/>
      <c r="H13" s="16">
        <v>381655.64</v>
      </c>
    </row>
    <row r="14" spans="1:8" ht="15.75" customHeight="1">
      <c r="A14" s="25">
        <v>3</v>
      </c>
      <c r="B14" s="217" t="s">
        <v>69</v>
      </c>
      <c r="C14" s="217"/>
      <c r="D14" s="217"/>
      <c r="E14" s="217"/>
      <c r="F14" s="217"/>
      <c r="G14" s="15"/>
      <c r="H14" s="34">
        <f>H10-H13</f>
        <v>-6831.950000000012</v>
      </c>
    </row>
    <row r="15" spans="1:8" ht="15.75" customHeight="1">
      <c r="A15" s="25">
        <v>4</v>
      </c>
      <c r="B15" s="205" t="s">
        <v>70</v>
      </c>
      <c r="C15" s="205"/>
      <c r="D15" s="205"/>
      <c r="E15" s="205"/>
      <c r="F15" s="205"/>
      <c r="G15" s="15"/>
      <c r="H15" s="33">
        <f>H9+H10-H13</f>
        <v>22417.190000000002</v>
      </c>
    </row>
    <row r="16" spans="1:8" ht="18.75">
      <c r="A16" s="25">
        <v>5</v>
      </c>
      <c r="B16" s="216" t="s">
        <v>74</v>
      </c>
      <c r="C16" s="216"/>
      <c r="D16" s="216"/>
      <c r="E16" s="216"/>
      <c r="F16" s="216"/>
      <c r="G16" s="17"/>
      <c r="H16" s="18"/>
    </row>
    <row r="17" spans="1:8" ht="15.75">
      <c r="A17" s="25" t="s">
        <v>40</v>
      </c>
      <c r="B17" s="19" t="s">
        <v>75</v>
      </c>
      <c r="C17" s="19"/>
      <c r="D17" s="19"/>
      <c r="E17" s="19"/>
      <c r="F17" s="5"/>
      <c r="G17" s="20"/>
      <c r="H17" s="20"/>
    </row>
    <row r="18" spans="1:8" ht="31.5">
      <c r="A18" s="31" t="s">
        <v>41</v>
      </c>
      <c r="B18" s="212" t="s">
        <v>18</v>
      </c>
      <c r="C18" s="212"/>
      <c r="D18" s="212"/>
      <c r="E18" s="6" t="s">
        <v>32</v>
      </c>
      <c r="F18" s="6" t="s">
        <v>24</v>
      </c>
      <c r="G18" s="12">
        <v>0.9</v>
      </c>
      <c r="H18" s="21">
        <f>ROUND(G18*$E$3*12,2)</f>
        <v>38514.96</v>
      </c>
    </row>
    <row r="19" spans="1:8" ht="15.75">
      <c r="A19" s="32" t="s">
        <v>42</v>
      </c>
      <c r="B19" s="212" t="s">
        <v>17</v>
      </c>
      <c r="C19" s="212"/>
      <c r="D19" s="212"/>
      <c r="E19" s="6" t="s">
        <v>32</v>
      </c>
      <c r="F19" s="6" t="s">
        <v>19</v>
      </c>
      <c r="G19" s="12">
        <v>0.26</v>
      </c>
      <c r="H19" s="21">
        <f aca="true" t="shared" si="0" ref="H19:H31">ROUND(G19*$E$3*12,2)</f>
        <v>11126.54</v>
      </c>
    </row>
    <row r="20" spans="1:8" ht="15.75">
      <c r="A20" s="31" t="s">
        <v>43</v>
      </c>
      <c r="B20" s="210" t="s">
        <v>23</v>
      </c>
      <c r="C20" s="210"/>
      <c r="D20" s="210"/>
      <c r="E20" s="7" t="s">
        <v>8</v>
      </c>
      <c r="F20" s="7" t="s">
        <v>20</v>
      </c>
      <c r="G20" s="12">
        <v>0.32</v>
      </c>
      <c r="H20" s="21">
        <f t="shared" si="0"/>
        <v>13694.21</v>
      </c>
    </row>
    <row r="21" spans="1:8" ht="33" customHeight="1">
      <c r="A21" s="32" t="s">
        <v>44</v>
      </c>
      <c r="B21" s="215" t="s">
        <v>31</v>
      </c>
      <c r="C21" s="215"/>
      <c r="D21" s="215"/>
      <c r="E21" s="8" t="s">
        <v>9</v>
      </c>
      <c r="F21" s="8" t="s">
        <v>10</v>
      </c>
      <c r="G21" s="12">
        <v>0.46</v>
      </c>
      <c r="H21" s="21">
        <f t="shared" si="0"/>
        <v>19685.42</v>
      </c>
    </row>
    <row r="22" spans="1:8" ht="63">
      <c r="A22" s="31" t="s">
        <v>47</v>
      </c>
      <c r="B22" s="210" t="s">
        <v>27</v>
      </c>
      <c r="C22" s="210"/>
      <c r="D22" s="210"/>
      <c r="E22" s="7" t="s">
        <v>34</v>
      </c>
      <c r="F22" s="7" t="s">
        <v>25</v>
      </c>
      <c r="G22" s="12">
        <v>0.11</v>
      </c>
      <c r="H22" s="21">
        <f t="shared" si="0"/>
        <v>4707.38</v>
      </c>
    </row>
    <row r="23" spans="1:8" ht="31.5">
      <c r="A23" s="32" t="s">
        <v>45</v>
      </c>
      <c r="B23" s="210" t="s">
        <v>11</v>
      </c>
      <c r="C23" s="210"/>
      <c r="D23" s="210"/>
      <c r="E23" s="7" t="s">
        <v>9</v>
      </c>
      <c r="F23" s="7" t="s">
        <v>12</v>
      </c>
      <c r="G23" s="12">
        <v>0</v>
      </c>
      <c r="H23" s="21">
        <f t="shared" si="0"/>
        <v>0</v>
      </c>
    </row>
    <row r="24" spans="1:8" ht="15.75">
      <c r="A24" s="31" t="s">
        <v>46</v>
      </c>
      <c r="B24" s="210" t="s">
        <v>26</v>
      </c>
      <c r="C24" s="206"/>
      <c r="D24" s="206"/>
      <c r="E24" s="9" t="s">
        <v>13</v>
      </c>
      <c r="F24" s="9" t="s">
        <v>14</v>
      </c>
      <c r="G24" s="12">
        <v>0.04</v>
      </c>
      <c r="H24" s="21">
        <f t="shared" si="0"/>
        <v>1711.78</v>
      </c>
    </row>
    <row r="25" spans="1:8" ht="36.75" customHeight="1">
      <c r="A25" s="32" t="s">
        <v>48</v>
      </c>
      <c r="B25" s="210" t="s">
        <v>79</v>
      </c>
      <c r="C25" s="210"/>
      <c r="D25" s="210"/>
      <c r="E25" s="9" t="s">
        <v>13</v>
      </c>
      <c r="F25" s="7" t="s">
        <v>77</v>
      </c>
      <c r="G25" s="12">
        <v>0.22</v>
      </c>
      <c r="H25" s="21">
        <f t="shared" si="0"/>
        <v>9414.77</v>
      </c>
    </row>
    <row r="26" spans="1:8" ht="31.5">
      <c r="A26" s="31" t="s">
        <v>49</v>
      </c>
      <c r="B26" s="210" t="s">
        <v>35</v>
      </c>
      <c r="C26" s="210"/>
      <c r="D26" s="210"/>
      <c r="E26" s="6" t="s">
        <v>36</v>
      </c>
      <c r="F26" s="7" t="s">
        <v>77</v>
      </c>
      <c r="G26" s="12">
        <v>2.5</v>
      </c>
      <c r="H26" s="21">
        <f t="shared" si="0"/>
        <v>106986</v>
      </c>
    </row>
    <row r="27" spans="1:8" ht="31.5">
      <c r="A27" s="32" t="s">
        <v>50</v>
      </c>
      <c r="B27" s="212" t="s">
        <v>15</v>
      </c>
      <c r="C27" s="212"/>
      <c r="D27" s="212"/>
      <c r="E27" s="6" t="s">
        <v>36</v>
      </c>
      <c r="F27" s="7" t="s">
        <v>77</v>
      </c>
      <c r="G27" s="12">
        <v>0.38</v>
      </c>
      <c r="H27" s="21">
        <f t="shared" si="0"/>
        <v>16261.87</v>
      </c>
    </row>
    <row r="28" spans="1:8" ht="31.5">
      <c r="A28" s="31" t="s">
        <v>51</v>
      </c>
      <c r="B28" s="213" t="s">
        <v>37</v>
      </c>
      <c r="C28" s="214"/>
      <c r="D28" s="214"/>
      <c r="E28" s="6" t="s">
        <v>36</v>
      </c>
      <c r="F28" s="7" t="s">
        <v>77</v>
      </c>
      <c r="G28" s="13">
        <v>1.82</v>
      </c>
      <c r="H28" s="21">
        <f t="shared" si="0"/>
        <v>77885.81</v>
      </c>
    </row>
    <row r="29" spans="1:8" ht="31.5">
      <c r="A29" s="32" t="s">
        <v>52</v>
      </c>
      <c r="B29" s="210" t="s">
        <v>28</v>
      </c>
      <c r="C29" s="210"/>
      <c r="D29" s="210"/>
      <c r="E29" s="6" t="s">
        <v>36</v>
      </c>
      <c r="F29" s="7" t="s">
        <v>77</v>
      </c>
      <c r="G29" s="13">
        <v>0</v>
      </c>
      <c r="H29" s="21">
        <f t="shared" si="0"/>
        <v>0</v>
      </c>
    </row>
    <row r="30" spans="1:8" ht="31.5">
      <c r="A30" s="31" t="s">
        <v>53</v>
      </c>
      <c r="B30" s="210" t="s">
        <v>29</v>
      </c>
      <c r="C30" s="210"/>
      <c r="D30" s="210"/>
      <c r="E30" s="6" t="s">
        <v>36</v>
      </c>
      <c r="F30" s="7" t="s">
        <v>77</v>
      </c>
      <c r="G30" s="13">
        <v>0</v>
      </c>
      <c r="H30" s="21">
        <f t="shared" si="0"/>
        <v>0</v>
      </c>
    </row>
    <row r="31" spans="1:8" ht="31.5">
      <c r="A31" s="32" t="s">
        <v>54</v>
      </c>
      <c r="B31" s="206" t="s">
        <v>21</v>
      </c>
      <c r="C31" s="206"/>
      <c r="D31" s="206"/>
      <c r="E31" s="6" t="s">
        <v>36</v>
      </c>
      <c r="F31" s="7" t="s">
        <v>77</v>
      </c>
      <c r="G31" s="9">
        <v>0.88</v>
      </c>
      <c r="H31" s="21">
        <f t="shared" si="0"/>
        <v>37659.07</v>
      </c>
    </row>
    <row r="32" spans="1:8" ht="15.75">
      <c r="A32" s="25" t="s">
        <v>55</v>
      </c>
      <c r="B32" s="211" t="s">
        <v>30</v>
      </c>
      <c r="C32" s="211"/>
      <c r="D32" s="211"/>
      <c r="E32" s="14"/>
      <c r="F32" s="7"/>
      <c r="G32" s="22">
        <f>SUM(G18:G31)</f>
        <v>7.890000000000001</v>
      </c>
      <c r="H32" s="23">
        <f>SUM(H18:H31)</f>
        <v>337647.81</v>
      </c>
    </row>
    <row r="33" spans="1:8" ht="15.75">
      <c r="A33" s="25" t="s">
        <v>56</v>
      </c>
      <c r="B33" s="205" t="s">
        <v>38</v>
      </c>
      <c r="C33" s="206"/>
      <c r="D33" s="206"/>
      <c r="E33" s="14"/>
      <c r="F33" s="7" t="s">
        <v>77</v>
      </c>
      <c r="G33" s="26">
        <f>H33/E3/12</f>
        <v>1.058549716785374</v>
      </c>
      <c r="H33" s="27">
        <v>45300</v>
      </c>
    </row>
    <row r="34" spans="1:8" ht="18.75">
      <c r="A34" s="28" t="s">
        <v>57</v>
      </c>
      <c r="B34" s="207" t="s">
        <v>76</v>
      </c>
      <c r="C34" s="207"/>
      <c r="D34" s="207"/>
      <c r="E34" s="207"/>
      <c r="F34" s="207"/>
      <c r="G34" s="22">
        <f>SUM(G32:G33)</f>
        <v>8.948549716785374</v>
      </c>
      <c r="H34" s="5">
        <f>SUM(H32:H33)</f>
        <v>382947.81</v>
      </c>
    </row>
    <row r="35" spans="1:8" ht="18.75">
      <c r="A35" s="25" t="s">
        <v>62</v>
      </c>
      <c r="B35" s="202" t="s">
        <v>39</v>
      </c>
      <c r="C35" s="203"/>
      <c r="D35" s="203"/>
      <c r="E35" s="203"/>
      <c r="F35" s="203"/>
      <c r="G35" s="204"/>
      <c r="H35" s="35"/>
    </row>
    <row r="36" spans="1:8" ht="15.75" customHeight="1">
      <c r="A36" s="25" t="s">
        <v>58</v>
      </c>
      <c r="B36" s="199" t="s">
        <v>71</v>
      </c>
      <c r="C36" s="200"/>
      <c r="D36" s="200"/>
      <c r="E36" s="200"/>
      <c r="F36" s="200"/>
      <c r="G36" s="201"/>
      <c r="H36" s="36">
        <v>-4647.49</v>
      </c>
    </row>
    <row r="37" spans="1:8" ht="15.75" customHeight="1">
      <c r="A37" s="25" t="s">
        <v>59</v>
      </c>
      <c r="B37" s="199" t="s">
        <v>72</v>
      </c>
      <c r="C37" s="200"/>
      <c r="D37" s="200"/>
      <c r="E37" s="200"/>
      <c r="F37" s="200"/>
      <c r="G37" s="201"/>
      <c r="H37" s="36">
        <f>H13-H34</f>
        <v>-1292.1699999999837</v>
      </c>
    </row>
    <row r="38" spans="1:8" ht="15.75" customHeight="1">
      <c r="A38" s="25" t="s">
        <v>60</v>
      </c>
      <c r="B38" s="199" t="s">
        <v>73</v>
      </c>
      <c r="C38" s="200"/>
      <c r="D38" s="200"/>
      <c r="E38" s="200"/>
      <c r="F38" s="200"/>
      <c r="G38" s="201"/>
      <c r="H38" s="36">
        <f>H36+H37</f>
        <v>-5939.6599999999835</v>
      </c>
    </row>
    <row r="39" spans="2:6" ht="19.5" customHeight="1">
      <c r="B39" s="37" t="s">
        <v>82</v>
      </c>
      <c r="F39" s="37" t="s">
        <v>81</v>
      </c>
    </row>
    <row r="40" spans="2:6" ht="15.75">
      <c r="B40" s="37" t="s">
        <v>78</v>
      </c>
      <c r="C40" s="37"/>
      <c r="D40" s="37"/>
      <c r="E40" s="37"/>
      <c r="F40" s="37"/>
    </row>
    <row r="41" ht="15.75">
      <c r="B41" t="s">
        <v>80</v>
      </c>
    </row>
  </sheetData>
  <mergeCells count="33">
    <mergeCell ref="B13:F13"/>
    <mergeCell ref="B14:F14"/>
    <mergeCell ref="B15:F15"/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27:D27"/>
    <mergeCell ref="B28:D28"/>
    <mergeCell ref="B21:D21"/>
    <mergeCell ref="B22:D22"/>
    <mergeCell ref="B23:D23"/>
    <mergeCell ref="B24:D24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B26:D26"/>
    <mergeCell ref="B36:G36"/>
    <mergeCell ref="B37:G37"/>
    <mergeCell ref="B38:G38"/>
    <mergeCell ref="B35:G35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2" sqref="A2:I2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50390625" style="0" bestFit="1" customWidth="1"/>
    <col min="6" max="6" width="17.75390625" style="0" hidden="1" customWidth="1"/>
    <col min="7" max="7" width="6.75390625" style="0" hidden="1" customWidth="1"/>
    <col min="8" max="8" width="14.625" style="0" customWidth="1"/>
    <col min="9" max="9" width="14.375" style="0" customWidth="1"/>
    <col min="10" max="10" width="11.50390625" style="0" customWidth="1"/>
  </cols>
  <sheetData>
    <row r="1" spans="1:9" ht="102" customHeight="1">
      <c r="A1" s="208" t="s">
        <v>217</v>
      </c>
      <c r="B1" s="208"/>
      <c r="C1" s="208"/>
      <c r="D1" s="208"/>
      <c r="E1" s="208"/>
      <c r="F1" s="208"/>
      <c r="G1" s="208"/>
      <c r="H1" s="208"/>
      <c r="I1" s="208"/>
    </row>
    <row r="2" spans="1:9" ht="61.5" customHeight="1">
      <c r="A2" s="209" t="s">
        <v>142</v>
      </c>
      <c r="B2" s="209"/>
      <c r="C2" s="209"/>
      <c r="D2" s="209"/>
      <c r="E2" s="209"/>
      <c r="F2" s="209"/>
      <c r="G2" s="209"/>
      <c r="H2" s="209"/>
      <c r="I2" s="209"/>
    </row>
    <row r="3" spans="1:9" ht="18.75">
      <c r="A3" t="s">
        <v>84</v>
      </c>
      <c r="B3" s="1" t="s">
        <v>83</v>
      </c>
      <c r="C3" s="2"/>
      <c r="D3" s="2" t="s">
        <v>0</v>
      </c>
      <c r="E3" s="29">
        <v>3566.2</v>
      </c>
      <c r="F3" s="2"/>
      <c r="I3" s="75">
        <v>0</v>
      </c>
    </row>
    <row r="4" spans="2:9" ht="15.75">
      <c r="B4" s="3" t="s">
        <v>1</v>
      </c>
      <c r="C4" s="30">
        <v>5</v>
      </c>
      <c r="D4" s="2" t="s">
        <v>2</v>
      </c>
      <c r="E4" s="30">
        <v>80</v>
      </c>
      <c r="F4" s="2"/>
      <c r="I4" t="s">
        <v>96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143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144</v>
      </c>
    </row>
    <row r="7" spans="1:10" ht="42.75">
      <c r="A7" s="24" t="s">
        <v>61</v>
      </c>
      <c r="B7" s="179" t="s">
        <v>145</v>
      </c>
      <c r="C7" s="222"/>
      <c r="D7" s="223"/>
      <c r="E7" s="11" t="s">
        <v>6</v>
      </c>
      <c r="F7" s="11" t="s">
        <v>7</v>
      </c>
      <c r="G7" s="77" t="s">
        <v>22</v>
      </c>
      <c r="H7" s="224" t="s">
        <v>146</v>
      </c>
      <c r="I7" s="225"/>
      <c r="J7" s="226"/>
    </row>
    <row r="8" spans="1:10" ht="15.75" customHeight="1">
      <c r="A8" s="25">
        <v>1</v>
      </c>
      <c r="B8" s="219"/>
      <c r="C8" s="220"/>
      <c r="D8" s="220"/>
      <c r="E8" s="220"/>
      <c r="F8" s="221"/>
      <c r="G8" s="78"/>
      <c r="H8" s="79" t="s">
        <v>147</v>
      </c>
      <c r="I8" s="80" t="s">
        <v>148</v>
      </c>
      <c r="J8" s="80" t="s">
        <v>149</v>
      </c>
    </row>
    <row r="9" spans="1:10" ht="15.75" customHeight="1">
      <c r="A9" s="25"/>
      <c r="B9" s="219" t="s">
        <v>150</v>
      </c>
      <c r="C9" s="220"/>
      <c r="D9" s="220"/>
      <c r="E9" s="220"/>
      <c r="F9" s="221"/>
      <c r="G9" s="79"/>
      <c r="H9" s="79"/>
      <c r="I9" s="44"/>
      <c r="J9" s="80"/>
    </row>
    <row r="10" spans="1:10" ht="26.25" customHeight="1">
      <c r="A10" s="81"/>
      <c r="B10" s="217" t="s">
        <v>151</v>
      </c>
      <c r="C10" s="217"/>
      <c r="D10" s="217"/>
      <c r="E10" s="217"/>
      <c r="F10" s="217"/>
      <c r="G10" s="15"/>
      <c r="H10" s="34">
        <v>368299.21</v>
      </c>
      <c r="I10" s="66"/>
      <c r="J10" s="82">
        <f>H10+I10</f>
        <v>368299.21</v>
      </c>
    </row>
    <row r="11" spans="1:10" ht="15.75">
      <c r="A11" s="81"/>
      <c r="B11" s="217" t="s">
        <v>152</v>
      </c>
      <c r="C11" s="217"/>
      <c r="D11" s="217"/>
      <c r="E11" s="217"/>
      <c r="F11" s="217"/>
      <c r="G11" s="15"/>
      <c r="H11" s="16">
        <v>25052.68</v>
      </c>
      <c r="I11" s="66"/>
      <c r="J11" s="82">
        <f>H11+I11</f>
        <v>25052.68</v>
      </c>
    </row>
    <row r="12" spans="1:10" ht="15.75" customHeight="1">
      <c r="A12" s="25"/>
      <c r="B12" s="217" t="s">
        <v>153</v>
      </c>
      <c r="C12" s="217"/>
      <c r="D12" s="217"/>
      <c r="E12" s="217"/>
      <c r="F12" s="217"/>
      <c r="G12" s="15"/>
      <c r="H12" s="34"/>
      <c r="I12" s="83">
        <v>0</v>
      </c>
      <c r="J12" s="82">
        <f>H12+I12</f>
        <v>0</v>
      </c>
    </row>
    <row r="13" spans="1:10" ht="15.75" customHeight="1">
      <c r="A13" s="25"/>
      <c r="B13" s="217" t="s">
        <v>154</v>
      </c>
      <c r="C13" s="217"/>
      <c r="D13" s="217"/>
      <c r="E13" s="217"/>
      <c r="F13" s="217"/>
      <c r="G13" s="15"/>
      <c r="H13" s="34"/>
      <c r="I13" s="83">
        <v>0</v>
      </c>
      <c r="J13" s="82">
        <f>H13+I13</f>
        <v>0</v>
      </c>
    </row>
    <row r="14" spans="1:10" ht="15.75" customHeight="1">
      <c r="A14" s="25"/>
      <c r="B14" s="205" t="s">
        <v>155</v>
      </c>
      <c r="C14" s="205"/>
      <c r="D14" s="205"/>
      <c r="E14" s="205"/>
      <c r="F14" s="205"/>
      <c r="G14" s="15"/>
      <c r="H14" s="84">
        <f>SUM(H10:H12)</f>
        <v>393351.89</v>
      </c>
      <c r="I14" s="85">
        <f>SUM(I10:I12)</f>
        <v>0</v>
      </c>
      <c r="J14" s="84">
        <f>SUM(J10:J13)</f>
        <v>393351.89</v>
      </c>
    </row>
    <row r="15" spans="1:10" ht="15.75" customHeight="1">
      <c r="A15" s="25">
        <v>2</v>
      </c>
      <c r="B15" s="216" t="s">
        <v>74</v>
      </c>
      <c r="C15" s="216"/>
      <c r="D15" s="216"/>
      <c r="E15" s="216"/>
      <c r="F15" s="216"/>
      <c r="G15" s="15"/>
      <c r="H15" s="34"/>
      <c r="I15" s="66"/>
      <c r="J15" s="48"/>
    </row>
    <row r="16" spans="1:10" ht="18.75" customHeight="1">
      <c r="A16" s="25" t="s">
        <v>139</v>
      </c>
      <c r="B16" s="19" t="s">
        <v>75</v>
      </c>
      <c r="C16" s="19"/>
      <c r="D16" s="19"/>
      <c r="E16" s="19"/>
      <c r="F16" s="5"/>
      <c r="G16" s="86"/>
      <c r="H16" s="86"/>
      <c r="I16" s="76"/>
      <c r="J16" s="80"/>
    </row>
    <row r="17" spans="1:10" ht="31.5">
      <c r="A17" s="87"/>
      <c r="B17" s="178" t="s">
        <v>156</v>
      </c>
      <c r="C17" s="178"/>
      <c r="D17" s="178"/>
      <c r="E17" s="88" t="s">
        <v>32</v>
      </c>
      <c r="F17" s="69" t="s">
        <v>24</v>
      </c>
      <c r="G17" s="70">
        <v>0.92</v>
      </c>
      <c r="H17" s="89">
        <f>ROUND(G17*$E$3*12,2)</f>
        <v>39370.85</v>
      </c>
      <c r="I17" s="90">
        <f>$I$12*0</f>
        <v>0</v>
      </c>
      <c r="J17" s="91">
        <f>SUM(H17:I17)</f>
        <v>39370.85</v>
      </c>
    </row>
    <row r="18" spans="1:10" ht="15.75" customHeight="1">
      <c r="A18" s="25"/>
      <c r="B18" s="186" t="s">
        <v>17</v>
      </c>
      <c r="C18" s="186"/>
      <c r="D18" s="186"/>
      <c r="E18" s="88" t="s">
        <v>32</v>
      </c>
      <c r="F18" s="69" t="s">
        <v>19</v>
      </c>
      <c r="G18" s="70">
        <v>0.26</v>
      </c>
      <c r="H18" s="89">
        <f>ROUND(G18*$E$3*12,2)</f>
        <v>11126.54</v>
      </c>
      <c r="I18" s="90">
        <f>$I$12*0</f>
        <v>0</v>
      </c>
      <c r="J18" s="91">
        <f aca="true" t="shared" si="0" ref="J18:J37">SUM(H18:I18)</f>
        <v>11126.54</v>
      </c>
    </row>
    <row r="19" spans="1:10" ht="15.75" customHeight="1">
      <c r="A19" s="25"/>
      <c r="B19" s="177" t="s">
        <v>23</v>
      </c>
      <c r="C19" s="177"/>
      <c r="D19" s="177"/>
      <c r="E19" s="92" t="s">
        <v>157</v>
      </c>
      <c r="F19" s="71" t="s">
        <v>20</v>
      </c>
      <c r="G19" s="70">
        <v>0.35</v>
      </c>
      <c r="H19" s="89">
        <f>J19-I19</f>
        <v>9988.52</v>
      </c>
      <c r="I19" s="90">
        <f>$I$12*0</f>
        <v>0</v>
      </c>
      <c r="J19" s="93">
        <v>9988.52</v>
      </c>
    </row>
    <row r="20" spans="1:10" ht="33" customHeight="1">
      <c r="A20" s="87"/>
      <c r="B20" s="178" t="s">
        <v>31</v>
      </c>
      <c r="C20" s="178"/>
      <c r="D20" s="178"/>
      <c r="E20" s="94" t="s">
        <v>9</v>
      </c>
      <c r="F20" s="72" t="s">
        <v>10</v>
      </c>
      <c r="G20" s="70">
        <v>0.46</v>
      </c>
      <c r="H20" s="89">
        <f>ROUND(G20*$E$3*12,2)</f>
        <v>19685.42</v>
      </c>
      <c r="I20" s="90">
        <f>$I$12*0.04</f>
        <v>0</v>
      </c>
      <c r="J20" s="91">
        <f t="shared" si="0"/>
        <v>19685.42</v>
      </c>
    </row>
    <row r="21" spans="1:10" ht="38.25">
      <c r="A21" s="25"/>
      <c r="B21" s="177" t="s">
        <v>27</v>
      </c>
      <c r="C21" s="177"/>
      <c r="D21" s="177"/>
      <c r="E21" s="92" t="s">
        <v>158</v>
      </c>
      <c r="F21" s="71" t="s">
        <v>25</v>
      </c>
      <c r="G21" s="70">
        <v>0.11</v>
      </c>
      <c r="H21" s="89">
        <f>J21-I21</f>
        <v>3437.79</v>
      </c>
      <c r="I21" s="90">
        <f>$I$12*0.01</f>
        <v>0</v>
      </c>
      <c r="J21" s="93">
        <v>3437.79</v>
      </c>
    </row>
    <row r="22" spans="1:10" ht="31.5">
      <c r="A22" s="87"/>
      <c r="B22" s="177" t="s">
        <v>11</v>
      </c>
      <c r="C22" s="177"/>
      <c r="D22" s="177"/>
      <c r="E22" s="92" t="s">
        <v>9</v>
      </c>
      <c r="F22" s="71" t="s">
        <v>12</v>
      </c>
      <c r="G22" s="70">
        <v>0</v>
      </c>
      <c r="H22" s="89">
        <f>J22-I22</f>
        <v>0</v>
      </c>
      <c r="I22" s="90">
        <f>$I$12*0</f>
        <v>0</v>
      </c>
      <c r="J22" s="93">
        <f>G22*E3*12</f>
        <v>0</v>
      </c>
    </row>
    <row r="23" spans="1:10" ht="15.75" customHeight="1">
      <c r="A23" s="87"/>
      <c r="B23" s="177" t="s">
        <v>26</v>
      </c>
      <c r="C23" s="182"/>
      <c r="D23" s="182"/>
      <c r="E23" s="95" t="s">
        <v>13</v>
      </c>
      <c r="F23" s="68" t="s">
        <v>14</v>
      </c>
      <c r="G23" s="70">
        <v>0.04</v>
      </c>
      <c r="H23" s="89">
        <f>J23-I23</f>
        <v>0</v>
      </c>
      <c r="I23" s="90">
        <f>$I$12*0</f>
        <v>0</v>
      </c>
      <c r="J23" s="93">
        <v>0</v>
      </c>
    </row>
    <row r="24" spans="1:10" ht="36.75" customHeight="1">
      <c r="A24" s="25"/>
      <c r="B24" s="177" t="s">
        <v>159</v>
      </c>
      <c r="C24" s="177"/>
      <c r="D24" s="177"/>
      <c r="E24" s="88" t="s">
        <v>36</v>
      </c>
      <c r="F24" s="96" t="s">
        <v>160</v>
      </c>
      <c r="G24" s="70">
        <v>1.87</v>
      </c>
      <c r="H24" s="89">
        <f aca="true" t="shared" si="1" ref="H24:H29">ROUND(G24*$E$3*12,2)</f>
        <v>80025.53</v>
      </c>
      <c r="I24" s="90">
        <f>$I$12*0</f>
        <v>0</v>
      </c>
      <c r="J24" s="91">
        <f t="shared" si="0"/>
        <v>80025.53</v>
      </c>
    </row>
    <row r="25" spans="1:10" ht="25.5">
      <c r="A25" s="25"/>
      <c r="B25" s="186" t="s">
        <v>15</v>
      </c>
      <c r="C25" s="186"/>
      <c r="D25" s="186"/>
      <c r="E25" s="88" t="s">
        <v>36</v>
      </c>
      <c r="F25" s="96" t="s">
        <v>160</v>
      </c>
      <c r="G25" s="70">
        <v>0.38</v>
      </c>
      <c r="H25" s="97">
        <f t="shared" si="1"/>
        <v>16261.87</v>
      </c>
      <c r="I25" s="90">
        <v>0</v>
      </c>
      <c r="J25" s="91">
        <f t="shared" si="0"/>
        <v>16261.87</v>
      </c>
    </row>
    <row r="26" spans="1:10" ht="33" customHeight="1">
      <c r="A26" s="25"/>
      <c r="B26" s="199" t="s">
        <v>37</v>
      </c>
      <c r="C26" s="184"/>
      <c r="D26" s="185"/>
      <c r="E26" s="88" t="s">
        <v>36</v>
      </c>
      <c r="F26" s="96" t="s">
        <v>160</v>
      </c>
      <c r="G26" s="98">
        <f>2.97-G27-G28</f>
        <v>2.97</v>
      </c>
      <c r="H26" s="97">
        <f t="shared" si="1"/>
        <v>127099.37</v>
      </c>
      <c r="I26" s="99">
        <f>$I$12*0.22</f>
        <v>0</v>
      </c>
      <c r="J26" s="91">
        <f t="shared" si="0"/>
        <v>127099.37</v>
      </c>
    </row>
    <row r="27" spans="1:10" ht="31.5" customHeight="1">
      <c r="A27" s="87"/>
      <c r="B27" s="177" t="s">
        <v>161</v>
      </c>
      <c r="C27" s="177"/>
      <c r="D27" s="177"/>
      <c r="E27" s="88" t="s">
        <v>36</v>
      </c>
      <c r="F27" s="96" t="s">
        <v>160</v>
      </c>
      <c r="G27" s="98">
        <v>0</v>
      </c>
      <c r="H27" s="97">
        <f t="shared" si="1"/>
        <v>0</v>
      </c>
      <c r="I27" s="99">
        <f>$I$12*0</f>
        <v>0</v>
      </c>
      <c r="J27" s="91">
        <f t="shared" si="0"/>
        <v>0</v>
      </c>
    </row>
    <row r="28" spans="1:10" ht="15.75">
      <c r="A28" s="25"/>
      <c r="B28" s="177" t="s">
        <v>162</v>
      </c>
      <c r="C28" s="177"/>
      <c r="D28" s="177"/>
      <c r="E28" s="92" t="s">
        <v>9</v>
      </c>
      <c r="F28" s="96" t="s">
        <v>160</v>
      </c>
      <c r="G28" s="98">
        <v>0</v>
      </c>
      <c r="H28" s="97">
        <f t="shared" si="1"/>
        <v>0</v>
      </c>
      <c r="I28" s="99">
        <f>$I$12*0</f>
        <v>0</v>
      </c>
      <c r="J28" s="91">
        <f t="shared" si="0"/>
        <v>0</v>
      </c>
    </row>
    <row r="29" spans="1:10" ht="25.5">
      <c r="A29" s="25"/>
      <c r="B29" s="182" t="s">
        <v>21</v>
      </c>
      <c r="C29" s="182"/>
      <c r="D29" s="182"/>
      <c r="E29" s="92" t="s">
        <v>36</v>
      </c>
      <c r="F29" s="96" t="s">
        <v>160</v>
      </c>
      <c r="G29" s="68">
        <v>0.92</v>
      </c>
      <c r="H29" s="89">
        <f t="shared" si="1"/>
        <v>39370.85</v>
      </c>
      <c r="I29" s="90">
        <f>$I$12*0.1</f>
        <v>0</v>
      </c>
      <c r="J29" s="91">
        <f t="shared" si="0"/>
        <v>39370.85</v>
      </c>
    </row>
    <row r="30" spans="1:10" ht="15.75">
      <c r="A30" s="25"/>
      <c r="B30" s="183" t="s">
        <v>163</v>
      </c>
      <c r="C30" s="184"/>
      <c r="D30" s="185"/>
      <c r="E30" s="92" t="s">
        <v>9</v>
      </c>
      <c r="F30" s="96"/>
      <c r="G30" s="68"/>
      <c r="H30" s="97"/>
      <c r="I30" s="83"/>
      <c r="J30" s="100"/>
    </row>
    <row r="31" spans="1:10" ht="25.5">
      <c r="A31" s="25"/>
      <c r="B31" s="183" t="s">
        <v>164</v>
      </c>
      <c r="C31" s="184"/>
      <c r="D31" s="185"/>
      <c r="E31" s="88" t="s">
        <v>36</v>
      </c>
      <c r="F31" s="96"/>
      <c r="G31" s="68"/>
      <c r="H31" s="97"/>
      <c r="I31" s="83"/>
      <c r="J31" s="100"/>
    </row>
    <row r="32" spans="1:10" ht="15.75" customHeight="1">
      <c r="A32" s="25"/>
      <c r="B32" s="190"/>
      <c r="C32" s="191"/>
      <c r="D32" s="192"/>
      <c r="E32" s="92"/>
      <c r="F32" s="96"/>
      <c r="G32" s="68"/>
      <c r="H32" s="97"/>
      <c r="I32" s="83"/>
      <c r="J32" s="100"/>
    </row>
    <row r="33" spans="1:10" ht="15.75">
      <c r="A33" s="25"/>
      <c r="B33" s="190"/>
      <c r="C33" s="191"/>
      <c r="D33" s="192"/>
      <c r="E33" s="92"/>
      <c r="F33" s="96"/>
      <c r="G33" s="68"/>
      <c r="H33" s="97"/>
      <c r="I33" s="83"/>
      <c r="J33" s="100"/>
    </row>
    <row r="34" spans="1:10" ht="15.75">
      <c r="A34" s="25"/>
      <c r="B34" s="211" t="s">
        <v>30</v>
      </c>
      <c r="C34" s="211"/>
      <c r="D34" s="211"/>
      <c r="E34" s="14"/>
      <c r="F34" s="96"/>
      <c r="G34" s="22">
        <f>SUM(G17:G29)</f>
        <v>8.28</v>
      </c>
      <c r="H34" s="101">
        <f>SUM(H17:H33)</f>
        <v>346366.74</v>
      </c>
      <c r="I34" s="102">
        <f>SUM(I17:I33)</f>
        <v>0</v>
      </c>
      <c r="J34" s="101">
        <f>SUM(J17:J33)</f>
        <v>346366.74</v>
      </c>
    </row>
    <row r="35" spans="1:10" ht="15.75" customHeight="1">
      <c r="A35" s="25" t="s">
        <v>165</v>
      </c>
      <c r="B35" s="193" t="s">
        <v>166</v>
      </c>
      <c r="C35" s="180"/>
      <c r="D35" s="180"/>
      <c r="E35" s="181"/>
      <c r="F35" s="96" t="s">
        <v>160</v>
      </c>
      <c r="G35" s="26">
        <f>H35/E3/12</f>
        <v>0.7349092404613687</v>
      </c>
      <c r="H35" s="103">
        <v>31450</v>
      </c>
      <c r="I35" s="104">
        <v>0</v>
      </c>
      <c r="J35" s="84">
        <f t="shared" si="0"/>
        <v>31450</v>
      </c>
    </row>
    <row r="36" spans="1:10" ht="15.75" customHeight="1">
      <c r="A36" s="28"/>
      <c r="B36" s="188" t="s">
        <v>76</v>
      </c>
      <c r="C36" s="188"/>
      <c r="D36" s="188"/>
      <c r="E36" s="188"/>
      <c r="F36" s="188"/>
      <c r="G36" s="22">
        <f>SUM(G34:G35)</f>
        <v>9.014909240461368</v>
      </c>
      <c r="H36" s="105">
        <f>SUM(H34:H35)</f>
        <v>377816.74</v>
      </c>
      <c r="I36" s="106">
        <f>SUM(I34:I35)</f>
        <v>0</v>
      </c>
      <c r="J36" s="105">
        <f>SUM(J34:J35)</f>
        <v>377816.74</v>
      </c>
    </row>
    <row r="37" spans="1:10" ht="15.75" customHeight="1">
      <c r="A37" s="25" t="s">
        <v>141</v>
      </c>
      <c r="B37" s="187" t="s">
        <v>167</v>
      </c>
      <c r="C37" s="187"/>
      <c r="D37" s="187"/>
      <c r="E37" s="187"/>
      <c r="F37" s="187"/>
      <c r="G37" s="26"/>
      <c r="H37" s="107">
        <v>0</v>
      </c>
      <c r="I37" s="107">
        <v>0</v>
      </c>
      <c r="J37" s="108">
        <f t="shared" si="0"/>
        <v>0</v>
      </c>
    </row>
    <row r="38" spans="1:10" ht="19.5" customHeight="1">
      <c r="A38" s="28"/>
      <c r="B38" s="188" t="s">
        <v>168</v>
      </c>
      <c r="C38" s="188"/>
      <c r="D38" s="188"/>
      <c r="E38" s="188"/>
      <c r="F38" s="188"/>
      <c r="G38" s="22">
        <f>SUM(G36:G37)</f>
        <v>9.014909240461368</v>
      </c>
      <c r="H38" s="105">
        <f>SUM(H36:H37)</f>
        <v>377816.74</v>
      </c>
      <c r="I38" s="106">
        <f>SUM(I36:I37)</f>
        <v>0</v>
      </c>
      <c r="J38" s="105">
        <f>SUM(J36:J37)</f>
        <v>377816.74</v>
      </c>
    </row>
    <row r="39" spans="1:10" ht="15.75">
      <c r="A39" s="25">
        <v>3</v>
      </c>
      <c r="B39" s="199" t="s">
        <v>169</v>
      </c>
      <c r="C39" s="200"/>
      <c r="D39" s="200"/>
      <c r="E39" s="200"/>
      <c r="F39" s="200"/>
      <c r="G39" s="201"/>
      <c r="H39" s="89">
        <f>H14-H38</f>
        <v>15535.150000000023</v>
      </c>
      <c r="I39" s="89">
        <f>I14-I38</f>
        <v>0</v>
      </c>
      <c r="J39" s="109">
        <f>J14-J38</f>
        <v>15535.150000000023</v>
      </c>
    </row>
    <row r="40" spans="2:6" ht="15.75">
      <c r="B40" s="37"/>
      <c r="F40" s="37"/>
    </row>
    <row r="41" spans="2:9" ht="15.75">
      <c r="B41" s="61" t="s">
        <v>170</v>
      </c>
      <c r="C41" s="61"/>
      <c r="D41" s="61"/>
      <c r="E41" s="37"/>
      <c r="F41" s="37"/>
      <c r="H41" s="189" t="s">
        <v>171</v>
      </c>
      <c r="I41" s="189"/>
    </row>
    <row r="42" spans="2:4" ht="15.75">
      <c r="B42" s="61"/>
      <c r="C42" s="61"/>
      <c r="D42" s="61"/>
    </row>
    <row r="43" spans="2:4" ht="15.75">
      <c r="B43" s="110" t="s">
        <v>172</v>
      </c>
      <c r="C43" s="110"/>
      <c r="D43" s="62"/>
    </row>
    <row r="44" spans="2:4" ht="15.75">
      <c r="B44" s="198" t="s">
        <v>173</v>
      </c>
      <c r="C44" s="198"/>
      <c r="D44" s="198"/>
    </row>
  </sheetData>
  <mergeCells count="37">
    <mergeCell ref="A1:I1"/>
    <mergeCell ref="A2:I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H41:I41"/>
    <mergeCell ref="B33:D33"/>
    <mergeCell ref="B34:D34"/>
    <mergeCell ref="B35:E35"/>
    <mergeCell ref="B36:F36"/>
    <mergeCell ref="B44:D44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15" sqref="H15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50390625" style="0" bestFit="1" customWidth="1"/>
    <col min="6" max="6" width="17.75390625" style="0" hidden="1" customWidth="1"/>
    <col min="7" max="7" width="6.75390625" style="0" hidden="1" customWidth="1"/>
    <col min="8" max="8" width="14.625" style="0" customWidth="1"/>
    <col min="9" max="9" width="14.375" style="0" customWidth="1"/>
    <col min="10" max="10" width="11.50390625" style="0" customWidth="1"/>
  </cols>
  <sheetData>
    <row r="1" spans="1:10" ht="102" customHeight="1">
      <c r="A1" s="208" t="s">
        <v>213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61.5" customHeight="1">
      <c r="A2" s="209" t="s">
        <v>218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9" ht="18.75">
      <c r="A3" t="s">
        <v>84</v>
      </c>
      <c r="B3" s="1" t="s">
        <v>83</v>
      </c>
      <c r="C3" s="2"/>
      <c r="D3" s="2" t="s">
        <v>0</v>
      </c>
      <c r="E3" s="29">
        <v>3566.2</v>
      </c>
      <c r="F3" s="2"/>
      <c r="I3" s="75">
        <v>0</v>
      </c>
    </row>
    <row r="4" spans="2:9" ht="15.75">
      <c r="B4" s="3" t="s">
        <v>1</v>
      </c>
      <c r="C4" s="30">
        <v>5</v>
      </c>
      <c r="D4" s="2" t="s">
        <v>2</v>
      </c>
      <c r="E4" s="30">
        <v>80</v>
      </c>
      <c r="F4" s="2"/>
      <c r="I4" t="s">
        <v>96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143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144</v>
      </c>
    </row>
    <row r="7" spans="1:10" ht="42.75">
      <c r="A7" s="24" t="s">
        <v>61</v>
      </c>
      <c r="B7" s="179" t="s">
        <v>145</v>
      </c>
      <c r="C7" s="222"/>
      <c r="D7" s="223"/>
      <c r="E7" s="11" t="s">
        <v>6</v>
      </c>
      <c r="F7" s="11" t="s">
        <v>7</v>
      </c>
      <c r="G7" s="77" t="s">
        <v>22</v>
      </c>
      <c r="H7" s="224" t="s">
        <v>146</v>
      </c>
      <c r="I7" s="225"/>
      <c r="J7" s="226"/>
    </row>
    <row r="8" spans="1:10" ht="15.75" customHeight="1">
      <c r="A8" s="25">
        <v>1</v>
      </c>
      <c r="B8" s="219"/>
      <c r="C8" s="220"/>
      <c r="D8" s="220"/>
      <c r="E8" s="220"/>
      <c r="F8" s="221"/>
      <c r="G8" s="78"/>
      <c r="H8" s="79" t="s">
        <v>147</v>
      </c>
      <c r="I8" s="80" t="s">
        <v>148</v>
      </c>
      <c r="J8" s="80" t="s">
        <v>149</v>
      </c>
    </row>
    <row r="9" spans="1:10" ht="15.75" customHeight="1">
      <c r="A9" s="25"/>
      <c r="B9" s="219" t="s">
        <v>150</v>
      </c>
      <c r="C9" s="220"/>
      <c r="D9" s="220"/>
      <c r="E9" s="220"/>
      <c r="F9" s="221"/>
      <c r="G9" s="79"/>
      <c r="H9" s="79"/>
      <c r="I9" s="44"/>
      <c r="J9" s="80"/>
    </row>
    <row r="10" spans="1:10" ht="27.75" customHeight="1">
      <c r="A10" s="81"/>
      <c r="B10" s="217" t="s">
        <v>151</v>
      </c>
      <c r="C10" s="217"/>
      <c r="D10" s="217"/>
      <c r="E10" s="217"/>
      <c r="F10" s="217"/>
      <c r="G10" s="15"/>
      <c r="H10" s="34">
        <v>433173.11</v>
      </c>
      <c r="I10" s="66"/>
      <c r="J10" s="82">
        <f>H10+I10</f>
        <v>433173.11</v>
      </c>
    </row>
    <row r="11" spans="1:10" ht="15.75">
      <c r="A11" s="81"/>
      <c r="B11" s="217" t="s">
        <v>152</v>
      </c>
      <c r="C11" s="217"/>
      <c r="D11" s="217"/>
      <c r="E11" s="217"/>
      <c r="F11" s="217"/>
      <c r="G11" s="15"/>
      <c r="H11" s="16">
        <v>28516.21</v>
      </c>
      <c r="I11" s="66"/>
      <c r="J11" s="82">
        <f>H11+I11</f>
        <v>28516.21</v>
      </c>
    </row>
    <row r="12" spans="1:10" ht="15.75" customHeight="1">
      <c r="A12" s="25"/>
      <c r="B12" s="217" t="s">
        <v>153</v>
      </c>
      <c r="C12" s="217"/>
      <c r="D12" s="217"/>
      <c r="E12" s="217"/>
      <c r="F12" s="217"/>
      <c r="G12" s="15"/>
      <c r="H12" s="34"/>
      <c r="I12" s="83">
        <v>0</v>
      </c>
      <c r="J12" s="82">
        <f>H12+I12</f>
        <v>0</v>
      </c>
    </row>
    <row r="13" spans="1:10" ht="15.75" customHeight="1">
      <c r="A13" s="25"/>
      <c r="B13" s="217" t="s">
        <v>154</v>
      </c>
      <c r="C13" s="217"/>
      <c r="D13" s="217"/>
      <c r="E13" s="217"/>
      <c r="F13" s="217"/>
      <c r="G13" s="15"/>
      <c r="H13" s="34"/>
      <c r="I13" s="83">
        <v>0</v>
      </c>
      <c r="J13" s="82">
        <f>H13+I13</f>
        <v>0</v>
      </c>
    </row>
    <row r="14" spans="1:10" ht="15.75" customHeight="1">
      <c r="A14" s="25"/>
      <c r="B14" s="205" t="s">
        <v>155</v>
      </c>
      <c r="C14" s="205"/>
      <c r="D14" s="205"/>
      <c r="E14" s="205"/>
      <c r="F14" s="205"/>
      <c r="G14" s="15"/>
      <c r="H14" s="84">
        <f>SUM(H10:H12)</f>
        <v>461689.32</v>
      </c>
      <c r="I14" s="85">
        <f>SUM(I10:I12)</f>
        <v>0</v>
      </c>
      <c r="J14" s="84">
        <f>SUM(J10:J13)</f>
        <v>461689.32</v>
      </c>
    </row>
    <row r="15" spans="1:10" ht="15.75" customHeight="1">
      <c r="A15" s="25">
        <v>2</v>
      </c>
      <c r="B15" s="216" t="s">
        <v>74</v>
      </c>
      <c r="C15" s="216"/>
      <c r="D15" s="216"/>
      <c r="E15" s="216"/>
      <c r="F15" s="216"/>
      <c r="G15" s="15"/>
      <c r="H15" s="34"/>
      <c r="I15" s="66"/>
      <c r="J15" s="48"/>
    </row>
    <row r="16" spans="1:10" ht="18.75" customHeight="1">
      <c r="A16" s="25" t="s">
        <v>139</v>
      </c>
      <c r="B16" s="19" t="s">
        <v>75</v>
      </c>
      <c r="C16" s="19"/>
      <c r="D16" s="19"/>
      <c r="E16" s="19"/>
      <c r="F16" s="5"/>
      <c r="G16" s="86"/>
      <c r="H16" s="86"/>
      <c r="I16" s="76"/>
      <c r="J16" s="80"/>
    </row>
    <row r="17" spans="1:10" ht="31.5">
      <c r="A17" s="87"/>
      <c r="B17" s="178" t="s">
        <v>156</v>
      </c>
      <c r="C17" s="178"/>
      <c r="D17" s="178"/>
      <c r="E17" s="88" t="s">
        <v>32</v>
      </c>
      <c r="F17" s="69" t="s">
        <v>24</v>
      </c>
      <c r="G17" s="70">
        <v>1.06</v>
      </c>
      <c r="H17" s="89">
        <f>ROUND(G17*$E$3*12,2)</f>
        <v>45362.06</v>
      </c>
      <c r="I17" s="90">
        <f>$I$12*0</f>
        <v>0</v>
      </c>
      <c r="J17" s="91">
        <f>SUM(H17:I17)</f>
        <v>45362.06</v>
      </c>
    </row>
    <row r="18" spans="1:10" ht="15.75" customHeight="1">
      <c r="A18" s="25"/>
      <c r="B18" s="186" t="s">
        <v>17</v>
      </c>
      <c r="C18" s="186"/>
      <c r="D18" s="186"/>
      <c r="E18" s="88" t="s">
        <v>32</v>
      </c>
      <c r="F18" s="69" t="s">
        <v>19</v>
      </c>
      <c r="G18" s="70">
        <v>0.28</v>
      </c>
      <c r="H18" s="89">
        <f>ROUND(G18*$E$3*12,2)</f>
        <v>11982.43</v>
      </c>
      <c r="I18" s="90">
        <f>$I$12*0</f>
        <v>0</v>
      </c>
      <c r="J18" s="91">
        <f>SUM(H18:I18)</f>
        <v>11982.43</v>
      </c>
    </row>
    <row r="19" spans="1:10" ht="15.75" customHeight="1">
      <c r="A19" s="25"/>
      <c r="B19" s="177" t="s">
        <v>23</v>
      </c>
      <c r="C19" s="177"/>
      <c r="D19" s="177"/>
      <c r="E19" s="92" t="s">
        <v>157</v>
      </c>
      <c r="F19" s="71" t="s">
        <v>20</v>
      </c>
      <c r="G19" s="70">
        <v>0.39</v>
      </c>
      <c r="H19" s="89">
        <f>J19-I19</f>
        <v>11180.85</v>
      </c>
      <c r="I19" s="90">
        <f>$I$12*0</f>
        <v>0</v>
      </c>
      <c r="J19" s="93">
        <v>11180.85</v>
      </c>
    </row>
    <row r="20" spans="1:10" ht="33" customHeight="1">
      <c r="A20" s="87"/>
      <c r="B20" s="178" t="s">
        <v>31</v>
      </c>
      <c r="C20" s="178"/>
      <c r="D20" s="178"/>
      <c r="E20" s="94" t="s">
        <v>9</v>
      </c>
      <c r="F20" s="72" t="s">
        <v>10</v>
      </c>
      <c r="G20" s="70">
        <v>0.51</v>
      </c>
      <c r="H20" s="89">
        <f>ROUND(G20*$E$3*12,2)</f>
        <v>21825.14</v>
      </c>
      <c r="I20" s="90">
        <f>$I$12*0.04</f>
        <v>0</v>
      </c>
      <c r="J20" s="91">
        <f>SUM(H20:I20)</f>
        <v>21825.14</v>
      </c>
    </row>
    <row r="21" spans="1:10" ht="38.25">
      <c r="A21" s="25"/>
      <c r="B21" s="177" t="s">
        <v>27</v>
      </c>
      <c r="C21" s="177"/>
      <c r="D21" s="177"/>
      <c r="E21" s="92" t="s">
        <v>158</v>
      </c>
      <c r="F21" s="71" t="s">
        <v>25</v>
      </c>
      <c r="G21" s="70">
        <v>0.12</v>
      </c>
      <c r="H21" s="89">
        <f>J21-I21</f>
        <v>5229.25</v>
      </c>
      <c r="I21" s="90">
        <f>$I$12*0.01</f>
        <v>0</v>
      </c>
      <c r="J21" s="93">
        <v>5229.25</v>
      </c>
    </row>
    <row r="22" spans="1:10" ht="31.5">
      <c r="A22" s="87"/>
      <c r="B22" s="177" t="s">
        <v>11</v>
      </c>
      <c r="C22" s="177"/>
      <c r="D22" s="177"/>
      <c r="E22" s="92" t="s">
        <v>9</v>
      </c>
      <c r="F22" s="71" t="s">
        <v>12</v>
      </c>
      <c r="G22" s="70">
        <v>0</v>
      </c>
      <c r="H22" s="89">
        <f>J22-I22</f>
        <v>0</v>
      </c>
      <c r="I22" s="90">
        <f>$I$12*0</f>
        <v>0</v>
      </c>
      <c r="J22" s="93">
        <f>G22*E3*12</f>
        <v>0</v>
      </c>
    </row>
    <row r="23" spans="1:10" ht="15.75" customHeight="1">
      <c r="A23" s="87"/>
      <c r="B23" s="177" t="s">
        <v>26</v>
      </c>
      <c r="C23" s="182"/>
      <c r="D23" s="182"/>
      <c r="E23" s="95" t="s">
        <v>13</v>
      </c>
      <c r="F23" s="68" t="s">
        <v>14</v>
      </c>
      <c r="G23" s="70">
        <v>0.05</v>
      </c>
      <c r="H23" s="89">
        <f>J23-I23</f>
        <v>2173.5</v>
      </c>
      <c r="I23" s="90">
        <f>$I$12*0</f>
        <v>0</v>
      </c>
      <c r="J23" s="93">
        <v>2173.5</v>
      </c>
    </row>
    <row r="24" spans="1:10" ht="36.75" customHeight="1">
      <c r="A24" s="25"/>
      <c r="B24" s="177" t="s">
        <v>159</v>
      </c>
      <c r="C24" s="177"/>
      <c r="D24" s="177"/>
      <c r="E24" s="88" t="s">
        <v>36</v>
      </c>
      <c r="F24" s="96" t="s">
        <v>160</v>
      </c>
      <c r="G24" s="70">
        <v>2.15</v>
      </c>
      <c r="H24" s="89">
        <f aca="true" t="shared" si="0" ref="H24:H29">ROUND(G24*$E$3*12,2)</f>
        <v>92007.96</v>
      </c>
      <c r="I24" s="90">
        <f>$I$12*0</f>
        <v>0</v>
      </c>
      <c r="J24" s="91">
        <f aca="true" t="shared" si="1" ref="J24:J29">SUM(H24:I24)</f>
        <v>92007.96</v>
      </c>
    </row>
    <row r="25" spans="1:10" ht="25.5">
      <c r="A25" s="25"/>
      <c r="B25" s="186" t="s">
        <v>15</v>
      </c>
      <c r="C25" s="186"/>
      <c r="D25" s="186"/>
      <c r="E25" s="88" t="s">
        <v>36</v>
      </c>
      <c r="F25" s="96" t="s">
        <v>160</v>
      </c>
      <c r="G25" s="70">
        <v>0.44</v>
      </c>
      <c r="H25" s="97">
        <f>ROUND((1783*G25*12)+(1783.2*3*0.44),2)</f>
        <v>11768.06</v>
      </c>
      <c r="I25" s="90">
        <v>0</v>
      </c>
      <c r="J25" s="91">
        <f t="shared" si="1"/>
        <v>11768.06</v>
      </c>
    </row>
    <row r="26" spans="1:10" ht="33" customHeight="1">
      <c r="A26" s="25"/>
      <c r="B26" s="199" t="s">
        <v>37</v>
      </c>
      <c r="C26" s="184"/>
      <c r="D26" s="185"/>
      <c r="E26" s="88" t="s">
        <v>36</v>
      </c>
      <c r="F26" s="96" t="s">
        <v>160</v>
      </c>
      <c r="G26" s="98">
        <f>3.46-G27-G28</f>
        <v>3.46</v>
      </c>
      <c r="H26" s="97">
        <f t="shared" si="0"/>
        <v>148068.62</v>
      </c>
      <c r="I26" s="99">
        <f>$I$12*0.22</f>
        <v>0</v>
      </c>
      <c r="J26" s="91">
        <f t="shared" si="1"/>
        <v>148068.62</v>
      </c>
    </row>
    <row r="27" spans="1:10" ht="31.5" customHeight="1">
      <c r="A27" s="87"/>
      <c r="B27" s="177" t="s">
        <v>161</v>
      </c>
      <c r="C27" s="177"/>
      <c r="D27" s="177"/>
      <c r="E27" s="88" t="s">
        <v>36</v>
      </c>
      <c r="F27" s="96" t="s">
        <v>160</v>
      </c>
      <c r="G27" s="98">
        <v>0</v>
      </c>
      <c r="H27" s="97">
        <f t="shared" si="0"/>
        <v>0</v>
      </c>
      <c r="I27" s="99">
        <f>$I$12*0</f>
        <v>0</v>
      </c>
      <c r="J27" s="91">
        <f t="shared" si="1"/>
        <v>0</v>
      </c>
    </row>
    <row r="28" spans="1:10" ht="15.75">
      <c r="A28" s="25"/>
      <c r="B28" s="177" t="s">
        <v>162</v>
      </c>
      <c r="C28" s="177"/>
      <c r="D28" s="177"/>
      <c r="E28" s="92" t="s">
        <v>9</v>
      </c>
      <c r="F28" s="96" t="s">
        <v>160</v>
      </c>
      <c r="G28" s="98">
        <v>0</v>
      </c>
      <c r="H28" s="97">
        <f t="shared" si="0"/>
        <v>0</v>
      </c>
      <c r="I28" s="99">
        <f>$I$12*0</f>
        <v>0</v>
      </c>
      <c r="J28" s="91">
        <f t="shared" si="1"/>
        <v>0</v>
      </c>
    </row>
    <row r="29" spans="1:10" ht="25.5">
      <c r="A29" s="25"/>
      <c r="B29" s="182" t="s">
        <v>21</v>
      </c>
      <c r="C29" s="182"/>
      <c r="D29" s="182"/>
      <c r="E29" s="92" t="s">
        <v>36</v>
      </c>
      <c r="F29" s="96" t="s">
        <v>160</v>
      </c>
      <c r="G29" s="68">
        <v>1.06</v>
      </c>
      <c r="H29" s="89">
        <f t="shared" si="0"/>
        <v>45362.06</v>
      </c>
      <c r="I29" s="90">
        <f>$I$12*0.1</f>
        <v>0</v>
      </c>
      <c r="J29" s="91">
        <f t="shared" si="1"/>
        <v>45362.06</v>
      </c>
    </row>
    <row r="30" spans="1:10" ht="15.75" customHeight="1">
      <c r="A30" s="25"/>
      <c r="B30" s="190"/>
      <c r="C30" s="191"/>
      <c r="D30" s="192"/>
      <c r="E30" s="92"/>
      <c r="F30" s="96"/>
      <c r="G30" s="68"/>
      <c r="H30" s="97"/>
      <c r="I30" s="83"/>
      <c r="J30" s="100"/>
    </row>
    <row r="31" spans="1:10" ht="15.75">
      <c r="A31" s="25"/>
      <c r="B31" s="190"/>
      <c r="C31" s="191"/>
      <c r="D31" s="192"/>
      <c r="E31" s="92"/>
      <c r="F31" s="96"/>
      <c r="G31" s="68"/>
      <c r="H31" s="97"/>
      <c r="I31" s="83"/>
      <c r="J31" s="100"/>
    </row>
    <row r="32" spans="1:10" ht="15.75">
      <c r="A32" s="25"/>
      <c r="B32" s="211" t="s">
        <v>30</v>
      </c>
      <c r="C32" s="211"/>
      <c r="D32" s="211"/>
      <c r="E32" s="14"/>
      <c r="F32" s="96"/>
      <c r="G32" s="22">
        <f>SUM(G17:G29)</f>
        <v>9.520000000000001</v>
      </c>
      <c r="H32" s="101">
        <f>SUM(H17:H31)</f>
        <v>394959.93</v>
      </c>
      <c r="I32" s="102">
        <f>SUM(I17:I31)</f>
        <v>0</v>
      </c>
      <c r="J32" s="101">
        <f>SUM(J17:J31)</f>
        <v>394959.93</v>
      </c>
    </row>
    <row r="33" spans="1:10" ht="15.75">
      <c r="A33" s="25"/>
      <c r="B33" s="183" t="s">
        <v>163</v>
      </c>
      <c r="C33" s="184"/>
      <c r="D33" s="185"/>
      <c r="E33" s="92" t="s">
        <v>9</v>
      </c>
      <c r="F33" s="96"/>
      <c r="G33" s="68"/>
      <c r="H33" s="97"/>
      <c r="I33" s="83"/>
      <c r="J33" s="100"/>
    </row>
    <row r="34" spans="1:10" ht="25.5">
      <c r="A34" s="25"/>
      <c r="B34" s="183" t="s">
        <v>164</v>
      </c>
      <c r="C34" s="184"/>
      <c r="D34" s="185"/>
      <c r="E34" s="88" t="s">
        <v>36</v>
      </c>
      <c r="F34" s="96"/>
      <c r="G34" s="68"/>
      <c r="H34" s="97"/>
      <c r="I34" s="83"/>
      <c r="J34" s="100"/>
    </row>
    <row r="35" spans="1:10" ht="15.75">
      <c r="A35" s="25"/>
      <c r="B35" s="120"/>
      <c r="C35" s="121"/>
      <c r="D35" s="121"/>
      <c r="E35" s="122"/>
      <c r="F35" s="96"/>
      <c r="G35" s="22"/>
      <c r="H35" s="101"/>
      <c r="I35" s="102"/>
      <c r="J35" s="101"/>
    </row>
    <row r="36" spans="1:10" ht="15.75" customHeight="1">
      <c r="A36" s="25" t="s">
        <v>165</v>
      </c>
      <c r="B36" s="193" t="s">
        <v>166</v>
      </c>
      <c r="C36" s="180"/>
      <c r="D36" s="180"/>
      <c r="E36" s="181"/>
      <c r="F36" s="96" t="s">
        <v>160</v>
      </c>
      <c r="G36" s="26">
        <f>H36/E3/12</f>
        <v>0.696539734170826</v>
      </c>
      <c r="H36" s="103">
        <v>29808</v>
      </c>
      <c r="I36" s="104">
        <v>0</v>
      </c>
      <c r="J36" s="84">
        <f>SUM(H36:I36)</f>
        <v>29808</v>
      </c>
    </row>
    <row r="37" spans="1:10" ht="15.75" customHeight="1">
      <c r="A37" s="28"/>
      <c r="B37" s="188" t="s">
        <v>76</v>
      </c>
      <c r="C37" s="188"/>
      <c r="D37" s="188"/>
      <c r="E37" s="188"/>
      <c r="F37" s="188"/>
      <c r="G37" s="22">
        <f>SUM(G32:G36)</f>
        <v>10.216539734170828</v>
      </c>
      <c r="H37" s="105">
        <f>SUM(H32:H36)</f>
        <v>424767.93</v>
      </c>
      <c r="I37" s="106">
        <f>SUM(I32:I36)</f>
        <v>0</v>
      </c>
      <c r="J37" s="105">
        <f>SUM(J32:J36)</f>
        <v>424767.93</v>
      </c>
    </row>
    <row r="38" spans="1:10" ht="15.75" customHeight="1">
      <c r="A38" s="25" t="s">
        <v>141</v>
      </c>
      <c r="B38" s="187" t="s">
        <v>167</v>
      </c>
      <c r="C38" s="187"/>
      <c r="D38" s="187"/>
      <c r="E38" s="187"/>
      <c r="F38" s="187"/>
      <c r="G38" s="26"/>
      <c r="H38" s="107">
        <v>0</v>
      </c>
      <c r="I38" s="107">
        <v>0</v>
      </c>
      <c r="J38" s="108">
        <f>SUM(H38:I38)</f>
        <v>0</v>
      </c>
    </row>
    <row r="39" spans="1:10" ht="19.5" customHeight="1">
      <c r="A39" s="28"/>
      <c r="B39" s="188" t="s">
        <v>168</v>
      </c>
      <c r="C39" s="188"/>
      <c r="D39" s="188"/>
      <c r="E39" s="188"/>
      <c r="F39" s="188"/>
      <c r="G39" s="22">
        <f>SUM(G37:G38)</f>
        <v>10.216539734170828</v>
      </c>
      <c r="H39" s="105">
        <f>SUM(H37:H38)</f>
        <v>424767.93</v>
      </c>
      <c r="I39" s="106">
        <f>SUM(I37:I38)</f>
        <v>0</v>
      </c>
      <c r="J39" s="105">
        <f>SUM(J37:J38)</f>
        <v>424767.93</v>
      </c>
    </row>
    <row r="40" spans="1:10" ht="15.75">
      <c r="A40" s="25">
        <v>3</v>
      </c>
      <c r="B40" s="199" t="s">
        <v>214</v>
      </c>
      <c r="C40" s="200"/>
      <c r="D40" s="200"/>
      <c r="E40" s="200"/>
      <c r="F40" s="200"/>
      <c r="G40" s="201"/>
      <c r="H40" s="89">
        <f>H14-H39</f>
        <v>36921.390000000014</v>
      </c>
      <c r="I40" s="89">
        <f>I14-I39</f>
        <v>0</v>
      </c>
      <c r="J40" s="109">
        <f>J14-J39</f>
        <v>36921.390000000014</v>
      </c>
    </row>
    <row r="41" spans="2:6" ht="15.75">
      <c r="B41" s="37"/>
      <c r="F41" s="37"/>
    </row>
    <row r="42" spans="2:9" ht="15.75">
      <c r="B42" s="61" t="s">
        <v>170</v>
      </c>
      <c r="C42" s="61"/>
      <c r="D42" s="61"/>
      <c r="E42" s="37"/>
      <c r="F42" s="37"/>
      <c r="H42" s="227" t="s">
        <v>219</v>
      </c>
      <c r="I42" s="227"/>
    </row>
    <row r="43" spans="2:4" ht="15.75">
      <c r="B43" s="61"/>
      <c r="C43" s="61"/>
      <c r="D43" s="61"/>
    </row>
    <row r="44" spans="2:4" ht="15.75">
      <c r="B44" s="110" t="s">
        <v>172</v>
      </c>
      <c r="C44" s="110"/>
      <c r="D44" s="62"/>
    </row>
    <row r="45" spans="2:4" ht="15.75">
      <c r="B45" s="198" t="s">
        <v>173</v>
      </c>
      <c r="C45" s="198"/>
      <c r="D45" s="198"/>
    </row>
  </sheetData>
  <mergeCells count="37">
    <mergeCell ref="B45:D45"/>
    <mergeCell ref="B33:D33"/>
    <mergeCell ref="B34:D34"/>
    <mergeCell ref="A1:J1"/>
    <mergeCell ref="A2:J2"/>
    <mergeCell ref="B38:F38"/>
    <mergeCell ref="B39:F39"/>
    <mergeCell ref="B40:G40"/>
    <mergeCell ref="H42:I42"/>
    <mergeCell ref="B31:D31"/>
    <mergeCell ref="B37:F37"/>
    <mergeCell ref="B29:D29"/>
    <mergeCell ref="B30:D30"/>
    <mergeCell ref="B27:D27"/>
    <mergeCell ref="B28:D28"/>
    <mergeCell ref="B32:D32"/>
    <mergeCell ref="B36:E36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7:D17"/>
    <mergeCell ref="B18:D18"/>
    <mergeCell ref="B10:F10"/>
    <mergeCell ref="B11:F11"/>
    <mergeCell ref="B12:F12"/>
    <mergeCell ref="B13:F13"/>
    <mergeCell ref="B7:D7"/>
    <mergeCell ref="H7:J7"/>
    <mergeCell ref="B8:F8"/>
    <mergeCell ref="B9:F9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20" sqref="H20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2.75390625" style="0" customWidth="1"/>
    <col min="6" max="6" width="17.75390625" style="0" hidden="1" customWidth="1"/>
    <col min="7" max="7" width="7.375" style="0" hidden="1" customWidth="1"/>
    <col min="8" max="8" width="13.25390625" style="0" customWidth="1"/>
  </cols>
  <sheetData>
    <row r="1" spans="1:8" ht="85.5" customHeight="1">
      <c r="A1" s="208" t="s">
        <v>212</v>
      </c>
      <c r="B1" s="208"/>
      <c r="C1" s="208"/>
      <c r="D1" s="208"/>
      <c r="E1" s="208"/>
      <c r="F1" s="208"/>
      <c r="G1" s="208"/>
      <c r="H1" s="208"/>
    </row>
    <row r="2" spans="1:6" ht="18.75">
      <c r="A2" t="s">
        <v>84</v>
      </c>
      <c r="B2" s="1" t="s">
        <v>83</v>
      </c>
      <c r="C2" s="2"/>
      <c r="D2" s="2" t="s">
        <v>0</v>
      </c>
      <c r="E2" s="29">
        <v>3566.2</v>
      </c>
      <c r="F2" s="2"/>
    </row>
    <row r="3" spans="2:6" ht="15.75">
      <c r="B3" s="3" t="s">
        <v>1</v>
      </c>
      <c r="C3" s="30">
        <v>5</v>
      </c>
      <c r="D3" s="2" t="s">
        <v>2</v>
      </c>
      <c r="E3" s="30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8.25">
      <c r="A6" s="63" t="s">
        <v>61</v>
      </c>
      <c r="B6" s="232" t="s">
        <v>145</v>
      </c>
      <c r="C6" s="233"/>
      <c r="D6" s="234"/>
      <c r="E6" s="64" t="s">
        <v>6</v>
      </c>
      <c r="F6" s="64" t="s">
        <v>7</v>
      </c>
      <c r="G6" s="112" t="s">
        <v>204</v>
      </c>
      <c r="H6" s="113" t="s">
        <v>136</v>
      </c>
    </row>
    <row r="7" spans="1:8" ht="15.75" customHeight="1">
      <c r="A7" s="65">
        <v>1</v>
      </c>
      <c r="B7" s="235" t="s">
        <v>137</v>
      </c>
      <c r="C7" s="235"/>
      <c r="D7" s="235"/>
      <c r="E7" s="235"/>
      <c r="F7" s="235"/>
      <c r="G7" s="66"/>
      <c r="H7" s="114"/>
    </row>
    <row r="8" spans="1:8" ht="33" customHeight="1">
      <c r="A8" s="65"/>
      <c r="B8" s="205" t="s">
        <v>205</v>
      </c>
      <c r="C8" s="205"/>
      <c r="D8" s="205"/>
      <c r="E8" s="205"/>
      <c r="F8" s="205"/>
      <c r="G8" s="26">
        <f>G31</f>
        <v>10.580000000000002</v>
      </c>
      <c r="H8" s="114">
        <f>ROUND($E$2*G8*12,0)</f>
        <v>452765</v>
      </c>
    </row>
    <row r="9" spans="1:8" ht="15.75" customHeight="1">
      <c r="A9" s="65"/>
      <c r="B9" s="239" t="s">
        <v>138</v>
      </c>
      <c r="C9" s="239"/>
      <c r="D9" s="239"/>
      <c r="E9" s="239"/>
      <c r="F9" s="239"/>
      <c r="G9" s="25">
        <v>0.76</v>
      </c>
      <c r="H9" s="114">
        <f>ROUND($E$2*G9*12,0)</f>
        <v>32524</v>
      </c>
    </row>
    <row r="10" spans="1:8" ht="18.75" customHeight="1">
      <c r="A10" s="65">
        <v>2</v>
      </c>
      <c r="B10" s="216" t="s">
        <v>74</v>
      </c>
      <c r="C10" s="216"/>
      <c r="D10" s="216"/>
      <c r="E10" s="216"/>
      <c r="F10" s="216"/>
      <c r="G10" s="68"/>
      <c r="H10" s="114"/>
    </row>
    <row r="11" spans="1:8" ht="15.75" customHeight="1">
      <c r="A11" s="65" t="s">
        <v>139</v>
      </c>
      <c r="B11" s="19" t="s">
        <v>75</v>
      </c>
      <c r="C11" s="19"/>
      <c r="D11" s="19"/>
      <c r="E11" s="19"/>
      <c r="F11" s="5"/>
      <c r="G11" s="79"/>
      <c r="H11" s="114"/>
    </row>
    <row r="12" spans="1:8" ht="31.5" customHeight="1">
      <c r="A12" s="115"/>
      <c r="B12" s="238" t="s">
        <v>206</v>
      </c>
      <c r="C12" s="238"/>
      <c r="D12" s="238"/>
      <c r="E12" s="88" t="s">
        <v>32</v>
      </c>
      <c r="F12" s="69" t="s">
        <v>24</v>
      </c>
      <c r="G12" s="70">
        <v>1.06</v>
      </c>
      <c r="H12" s="67">
        <f aca="true" t="shared" si="0" ref="H12:H31">ROUND($E$2*G12*12,0)</f>
        <v>45362</v>
      </c>
    </row>
    <row r="13" spans="1:8" ht="15.75">
      <c r="A13" s="115"/>
      <c r="B13" s="238" t="s">
        <v>17</v>
      </c>
      <c r="C13" s="238"/>
      <c r="D13" s="238"/>
      <c r="E13" s="88" t="s">
        <v>32</v>
      </c>
      <c r="F13" s="69" t="s">
        <v>19</v>
      </c>
      <c r="G13" s="70">
        <v>0.28</v>
      </c>
      <c r="H13" s="67">
        <f t="shared" si="0"/>
        <v>11982</v>
      </c>
    </row>
    <row r="14" spans="1:8" ht="15.75" customHeight="1">
      <c r="A14" s="115"/>
      <c r="B14" s="236" t="s">
        <v>23</v>
      </c>
      <c r="C14" s="236"/>
      <c r="D14" s="236"/>
      <c r="E14" s="92" t="s">
        <v>157</v>
      </c>
      <c r="F14" s="71" t="s">
        <v>20</v>
      </c>
      <c r="G14" s="70">
        <v>0.39</v>
      </c>
      <c r="H14" s="67">
        <f t="shared" si="0"/>
        <v>16690</v>
      </c>
    </row>
    <row r="15" spans="1:8" ht="31.5">
      <c r="A15" s="115"/>
      <c r="B15" s="243" t="s">
        <v>31</v>
      </c>
      <c r="C15" s="243"/>
      <c r="D15" s="243"/>
      <c r="E15" s="94" t="s">
        <v>9</v>
      </c>
      <c r="F15" s="72" t="s">
        <v>10</v>
      </c>
      <c r="G15" s="70">
        <v>0.51</v>
      </c>
      <c r="H15" s="67">
        <f t="shared" si="0"/>
        <v>21825</v>
      </c>
    </row>
    <row r="16" spans="1:8" ht="38.25">
      <c r="A16" s="115"/>
      <c r="B16" s="236" t="s">
        <v>27</v>
      </c>
      <c r="C16" s="236"/>
      <c r="D16" s="236"/>
      <c r="E16" s="92" t="s">
        <v>158</v>
      </c>
      <c r="F16" s="71" t="s">
        <v>25</v>
      </c>
      <c r="G16" s="70">
        <v>0.12</v>
      </c>
      <c r="H16" s="67">
        <f t="shared" si="0"/>
        <v>5135</v>
      </c>
    </row>
    <row r="17" spans="1:8" ht="31.5" customHeight="1">
      <c r="A17" s="115"/>
      <c r="B17" s="236" t="s">
        <v>11</v>
      </c>
      <c r="C17" s="236"/>
      <c r="D17" s="236"/>
      <c r="E17" s="92" t="s">
        <v>9</v>
      </c>
      <c r="F17" s="71" t="s">
        <v>12</v>
      </c>
      <c r="G17" s="70">
        <v>0</v>
      </c>
      <c r="H17" s="67">
        <f t="shared" si="0"/>
        <v>0</v>
      </c>
    </row>
    <row r="18" spans="1:8" ht="15.75">
      <c r="A18" s="115"/>
      <c r="B18" s="236" t="s">
        <v>26</v>
      </c>
      <c r="C18" s="237"/>
      <c r="D18" s="237"/>
      <c r="E18" s="95" t="s">
        <v>13</v>
      </c>
      <c r="F18" s="68" t="s">
        <v>207</v>
      </c>
      <c r="G18" s="70">
        <v>0.05</v>
      </c>
      <c r="H18" s="67">
        <f t="shared" si="0"/>
        <v>2140</v>
      </c>
    </row>
    <row r="19" spans="1:8" ht="25.5">
      <c r="A19" s="115"/>
      <c r="B19" s="236" t="s">
        <v>159</v>
      </c>
      <c r="C19" s="236"/>
      <c r="D19" s="236"/>
      <c r="E19" s="88" t="s">
        <v>36</v>
      </c>
      <c r="F19" s="71" t="s">
        <v>77</v>
      </c>
      <c r="G19" s="70">
        <v>2.15</v>
      </c>
      <c r="H19" s="67">
        <f t="shared" si="0"/>
        <v>92008</v>
      </c>
    </row>
    <row r="20" spans="1:8" ht="38.25">
      <c r="A20" s="115"/>
      <c r="B20" s="238" t="s">
        <v>15</v>
      </c>
      <c r="C20" s="238"/>
      <c r="D20" s="238"/>
      <c r="E20" s="88" t="s">
        <v>140</v>
      </c>
      <c r="F20" s="71" t="s">
        <v>77</v>
      </c>
      <c r="G20" s="70">
        <v>0.44</v>
      </c>
      <c r="H20" s="67">
        <f t="shared" si="0"/>
        <v>18830</v>
      </c>
    </row>
    <row r="21" spans="1:8" ht="28.5" customHeight="1">
      <c r="A21" s="115"/>
      <c r="B21" s="236" t="s">
        <v>37</v>
      </c>
      <c r="C21" s="237"/>
      <c r="D21" s="237"/>
      <c r="E21" s="88" t="s">
        <v>36</v>
      </c>
      <c r="F21" s="71" t="s">
        <v>77</v>
      </c>
      <c r="G21" s="70">
        <f>3.46-G22-G23</f>
        <v>3.46</v>
      </c>
      <c r="H21" s="67">
        <f t="shared" si="0"/>
        <v>148069</v>
      </c>
    </row>
    <row r="22" spans="1:8" ht="31.5" customHeight="1">
      <c r="A22" s="115"/>
      <c r="B22" s="236" t="s">
        <v>208</v>
      </c>
      <c r="C22" s="236"/>
      <c r="D22" s="236"/>
      <c r="E22" s="92" t="s">
        <v>9</v>
      </c>
      <c r="F22" s="71" t="s">
        <v>77</v>
      </c>
      <c r="G22" s="70">
        <v>0</v>
      </c>
      <c r="H22" s="67">
        <f t="shared" si="0"/>
        <v>0</v>
      </c>
    </row>
    <row r="23" spans="1:8" ht="15.75" customHeight="1">
      <c r="A23" s="115"/>
      <c r="B23" s="236" t="s">
        <v>162</v>
      </c>
      <c r="C23" s="236"/>
      <c r="D23" s="236"/>
      <c r="E23" s="92" t="s">
        <v>9</v>
      </c>
      <c r="F23" s="71" t="s">
        <v>77</v>
      </c>
      <c r="G23" s="70">
        <v>0</v>
      </c>
      <c r="H23" s="67">
        <f t="shared" si="0"/>
        <v>0</v>
      </c>
    </row>
    <row r="24" spans="1:8" ht="36.75" customHeight="1">
      <c r="A24" s="115"/>
      <c r="B24" s="237" t="s">
        <v>21</v>
      </c>
      <c r="C24" s="237"/>
      <c r="D24" s="237"/>
      <c r="E24" s="88" t="s">
        <v>36</v>
      </c>
      <c r="F24" s="71" t="s">
        <v>77</v>
      </c>
      <c r="G24" s="70">
        <v>1.06</v>
      </c>
      <c r="H24" s="67">
        <f t="shared" si="0"/>
        <v>45362</v>
      </c>
    </row>
    <row r="25" spans="1:8" ht="15.75">
      <c r="A25" s="115"/>
      <c r="B25" s="183" t="s">
        <v>163</v>
      </c>
      <c r="C25" s="184"/>
      <c r="D25" s="185"/>
      <c r="E25" s="92" t="s">
        <v>9</v>
      </c>
      <c r="F25" s="71"/>
      <c r="G25" s="70"/>
      <c r="H25" s="67"/>
    </row>
    <row r="26" spans="1:8" ht="25.5">
      <c r="A26" s="115"/>
      <c r="B26" s="183" t="s">
        <v>164</v>
      </c>
      <c r="C26" s="184"/>
      <c r="D26" s="185"/>
      <c r="E26" s="88" t="s">
        <v>36</v>
      </c>
      <c r="F26" s="71"/>
      <c r="G26" s="70"/>
      <c r="H26" s="67"/>
    </row>
    <row r="27" spans="1:8" ht="31.5" customHeight="1">
      <c r="A27" s="115"/>
      <c r="B27" s="190"/>
      <c r="C27" s="191"/>
      <c r="D27" s="192"/>
      <c r="E27" s="88"/>
      <c r="F27" s="71"/>
      <c r="G27" s="70"/>
      <c r="H27" s="67"/>
    </row>
    <row r="28" spans="1:8" ht="15.75">
      <c r="A28" s="115"/>
      <c r="B28" s="190"/>
      <c r="C28" s="191"/>
      <c r="D28" s="192"/>
      <c r="E28" s="88"/>
      <c r="F28" s="71"/>
      <c r="G28" s="70"/>
      <c r="H28" s="67"/>
    </row>
    <row r="29" spans="1:8" ht="15.75">
      <c r="A29" s="115"/>
      <c r="B29" s="240" t="s">
        <v>30</v>
      </c>
      <c r="C29" s="241"/>
      <c r="D29" s="242"/>
      <c r="E29" s="14"/>
      <c r="F29" s="71"/>
      <c r="G29" s="22">
        <f>SUM(G12:G28)</f>
        <v>9.520000000000001</v>
      </c>
      <c r="H29" s="67">
        <f t="shared" si="0"/>
        <v>407403</v>
      </c>
    </row>
    <row r="30" spans="1:8" ht="19.5" customHeight="1">
      <c r="A30" s="65" t="s">
        <v>165</v>
      </c>
      <c r="B30" s="193" t="s">
        <v>209</v>
      </c>
      <c r="C30" s="180"/>
      <c r="D30" s="180"/>
      <c r="E30" s="181"/>
      <c r="F30" s="71" t="s">
        <v>77</v>
      </c>
      <c r="G30" s="26">
        <v>1.06</v>
      </c>
      <c r="H30" s="67">
        <f t="shared" si="0"/>
        <v>45362</v>
      </c>
    </row>
    <row r="31" spans="1:8" ht="15.75">
      <c r="A31" s="65"/>
      <c r="B31" s="228" t="s">
        <v>210</v>
      </c>
      <c r="C31" s="228"/>
      <c r="D31" s="228"/>
      <c r="E31" s="228"/>
      <c r="F31" s="228"/>
      <c r="G31" s="22">
        <f>SUM(G29:G30)</f>
        <v>10.580000000000002</v>
      </c>
      <c r="H31" s="116">
        <f t="shared" si="0"/>
        <v>452765</v>
      </c>
    </row>
    <row r="32" spans="1:8" ht="16.5" thickBot="1">
      <c r="A32" s="117">
        <v>3</v>
      </c>
      <c r="B32" s="229" t="s">
        <v>211</v>
      </c>
      <c r="C32" s="230"/>
      <c r="D32" s="231"/>
      <c r="E32" s="118"/>
      <c r="F32" s="73" t="s">
        <v>77</v>
      </c>
      <c r="G32" s="74">
        <v>0.76</v>
      </c>
      <c r="H32" s="119">
        <f>ROUND($E$2*G32*12,0)</f>
        <v>32524</v>
      </c>
    </row>
    <row r="34" spans="2:6" ht="15.75">
      <c r="B34" s="37" t="s">
        <v>82</v>
      </c>
      <c r="E34" s="123" t="s">
        <v>81</v>
      </c>
      <c r="F34" s="37"/>
    </row>
  </sheetData>
  <mergeCells count="27">
    <mergeCell ref="B17:D17"/>
    <mergeCell ref="B12:D12"/>
    <mergeCell ref="B13:D13"/>
    <mergeCell ref="B14:D14"/>
    <mergeCell ref="B15:D15"/>
    <mergeCell ref="B21:D21"/>
    <mergeCell ref="B22:D22"/>
    <mergeCell ref="B23:D23"/>
    <mergeCell ref="B24:D24"/>
    <mergeCell ref="B29:D29"/>
    <mergeCell ref="B25:D25"/>
    <mergeCell ref="B26:D26"/>
    <mergeCell ref="B27:D27"/>
    <mergeCell ref="B8:F8"/>
    <mergeCell ref="B9:F9"/>
    <mergeCell ref="B10:F10"/>
    <mergeCell ref="B16:D16"/>
    <mergeCell ref="B30:E30"/>
    <mergeCell ref="B31:F31"/>
    <mergeCell ref="B32:D32"/>
    <mergeCell ref="A1:H1"/>
    <mergeCell ref="B6:D6"/>
    <mergeCell ref="B7:F7"/>
    <mergeCell ref="B28:D28"/>
    <mergeCell ref="B18:D18"/>
    <mergeCell ref="B19:D19"/>
    <mergeCell ref="B20:D20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14" sqref="B14:F1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6.00390625" style="0" customWidth="1"/>
    <col min="6" max="6" width="17.75390625" style="0" hidden="1" customWidth="1"/>
    <col min="7" max="7" width="7.375" style="0" hidden="1" customWidth="1"/>
    <col min="8" max="8" width="13.25390625" style="0" customWidth="1"/>
  </cols>
  <sheetData>
    <row r="1" spans="4:8" ht="81.75" customHeight="1">
      <c r="D1" s="246" t="s">
        <v>227</v>
      </c>
      <c r="E1" s="246"/>
      <c r="F1" s="246"/>
      <c r="G1" s="246"/>
      <c r="H1" s="246"/>
    </row>
    <row r="2" spans="4:8" ht="32.25" customHeight="1">
      <c r="D2" s="132"/>
      <c r="E2" s="132"/>
      <c r="F2" s="132"/>
      <c r="G2" s="132"/>
      <c r="H2" s="132"/>
    </row>
    <row r="3" spans="1:8" ht="16.5" customHeight="1">
      <c r="A3" s="208" t="s">
        <v>228</v>
      </c>
      <c r="B3" s="208"/>
      <c r="C3" s="208"/>
      <c r="D3" s="208"/>
      <c r="E3" s="208"/>
      <c r="F3" s="208"/>
      <c r="G3" s="208"/>
      <c r="H3" s="208"/>
    </row>
    <row r="4" spans="1:6" ht="17.25" customHeight="1">
      <c r="A4" s="126"/>
      <c r="B4" s="126"/>
      <c r="C4" s="126"/>
      <c r="D4" s="126"/>
      <c r="E4" s="126"/>
      <c r="F4" s="126"/>
    </row>
    <row r="5" spans="1:6" ht="16.5" customHeight="1">
      <c r="A5" s="126"/>
      <c r="B5" s="245" t="s">
        <v>229</v>
      </c>
      <c r="C5" s="245"/>
      <c r="D5" s="245"/>
      <c r="E5" s="245"/>
      <c r="F5" s="126"/>
    </row>
    <row r="6" spans="1:6" ht="18.75">
      <c r="A6" t="s">
        <v>84</v>
      </c>
      <c r="B6" s="1" t="s">
        <v>83</v>
      </c>
      <c r="C6" s="2"/>
      <c r="D6" s="2" t="s">
        <v>0</v>
      </c>
      <c r="E6" s="29">
        <v>3566.2</v>
      </c>
      <c r="F6" s="2"/>
    </row>
    <row r="7" spans="2:6" ht="15.75">
      <c r="B7" s="3" t="s">
        <v>1</v>
      </c>
      <c r="C7" s="30">
        <v>5</v>
      </c>
      <c r="D7" s="2" t="s">
        <v>2</v>
      </c>
      <c r="E7" s="30">
        <v>80</v>
      </c>
      <c r="F7" s="2"/>
    </row>
    <row r="8" spans="2:7" ht="15.75">
      <c r="B8" s="3" t="s">
        <v>3</v>
      </c>
      <c r="C8" s="4">
        <v>4</v>
      </c>
      <c r="D8" s="2" t="s">
        <v>4</v>
      </c>
      <c r="E8" s="2" t="s">
        <v>16</v>
      </c>
      <c r="F8" s="2"/>
      <c r="G8" s="2"/>
    </row>
    <row r="9" spans="2:7" ht="16.5" thickBot="1">
      <c r="B9" s="3"/>
      <c r="C9" s="4"/>
      <c r="D9" s="2" t="s">
        <v>5</v>
      </c>
      <c r="E9" s="2" t="s">
        <v>16</v>
      </c>
      <c r="F9" s="2"/>
      <c r="G9" s="2"/>
    </row>
    <row r="10" spans="1:8" ht="38.25">
      <c r="A10" s="63" t="s">
        <v>61</v>
      </c>
      <c r="B10" s="232" t="s">
        <v>145</v>
      </c>
      <c r="C10" s="233"/>
      <c r="D10" s="234"/>
      <c r="E10" s="64" t="s">
        <v>6</v>
      </c>
      <c r="F10" s="64" t="s">
        <v>7</v>
      </c>
      <c r="G10" s="112" t="s">
        <v>204</v>
      </c>
      <c r="H10" s="113" t="s">
        <v>136</v>
      </c>
    </row>
    <row r="11" spans="1:8" ht="15.75" customHeight="1">
      <c r="A11" s="65">
        <v>1</v>
      </c>
      <c r="B11" s="235" t="s">
        <v>137</v>
      </c>
      <c r="C11" s="235"/>
      <c r="D11" s="235"/>
      <c r="E11" s="235"/>
      <c r="F11" s="235"/>
      <c r="G11" s="66"/>
      <c r="H11" s="114"/>
    </row>
    <row r="12" spans="1:8" ht="33" customHeight="1">
      <c r="A12" s="65"/>
      <c r="B12" s="205" t="s">
        <v>205</v>
      </c>
      <c r="C12" s="205"/>
      <c r="D12" s="205"/>
      <c r="E12" s="205"/>
      <c r="F12" s="205"/>
      <c r="G12" s="26">
        <f>G33</f>
        <v>10.89</v>
      </c>
      <c r="H12" s="114">
        <f>ROUND($E$6*G12*12,0)</f>
        <v>466031</v>
      </c>
    </row>
    <row r="13" spans="1:8" ht="15.75" customHeight="1">
      <c r="A13" s="65"/>
      <c r="B13" s="239" t="s">
        <v>138</v>
      </c>
      <c r="C13" s="239"/>
      <c r="D13" s="239"/>
      <c r="E13" s="239"/>
      <c r="F13" s="239"/>
      <c r="G13" s="25">
        <v>0.78</v>
      </c>
      <c r="H13" s="114">
        <f>ROUND($E$6*G13*12,0)</f>
        <v>33380</v>
      </c>
    </row>
    <row r="14" spans="1:8" ht="18.75" customHeight="1">
      <c r="A14" s="65">
        <v>2</v>
      </c>
      <c r="B14" s="216" t="s">
        <v>74</v>
      </c>
      <c r="C14" s="216"/>
      <c r="D14" s="216"/>
      <c r="E14" s="216"/>
      <c r="F14" s="216"/>
      <c r="G14" s="68"/>
      <c r="H14" s="114"/>
    </row>
    <row r="15" spans="1:8" ht="15.75" customHeight="1">
      <c r="A15" s="65" t="s">
        <v>139</v>
      </c>
      <c r="B15" s="19" t="s">
        <v>75</v>
      </c>
      <c r="C15" s="19"/>
      <c r="D15" s="19"/>
      <c r="E15" s="19"/>
      <c r="F15" s="5"/>
      <c r="G15" s="79"/>
      <c r="H15" s="114"/>
    </row>
    <row r="16" spans="1:8" ht="31.5" customHeight="1">
      <c r="A16" s="115"/>
      <c r="B16" s="238" t="s">
        <v>206</v>
      </c>
      <c r="C16" s="238"/>
      <c r="D16" s="238"/>
      <c r="E16" s="88" t="s">
        <v>32</v>
      </c>
      <c r="F16" s="69" t="s">
        <v>24</v>
      </c>
      <c r="G16" s="70">
        <v>1.09</v>
      </c>
      <c r="H16" s="67">
        <f aca="true" t="shared" si="0" ref="H16:H33">ROUND($E$6*G16*12,0)</f>
        <v>46646</v>
      </c>
    </row>
    <row r="17" spans="1:8" ht="15.75">
      <c r="A17" s="115"/>
      <c r="B17" s="238" t="s">
        <v>17</v>
      </c>
      <c r="C17" s="238"/>
      <c r="D17" s="238"/>
      <c r="E17" s="88" t="s">
        <v>32</v>
      </c>
      <c r="F17" s="69" t="s">
        <v>19</v>
      </c>
      <c r="G17" s="70">
        <v>0.29</v>
      </c>
      <c r="H17" s="67">
        <f t="shared" si="0"/>
        <v>12410</v>
      </c>
    </row>
    <row r="18" spans="1:8" ht="15.75" customHeight="1">
      <c r="A18" s="115"/>
      <c r="B18" s="236" t="s">
        <v>23</v>
      </c>
      <c r="C18" s="236"/>
      <c r="D18" s="236"/>
      <c r="E18" s="92" t="s">
        <v>157</v>
      </c>
      <c r="F18" s="71" t="s">
        <v>20</v>
      </c>
      <c r="G18" s="70">
        <v>0.4</v>
      </c>
      <c r="H18" s="67">
        <f t="shared" si="0"/>
        <v>17118</v>
      </c>
    </row>
    <row r="19" spans="1:8" ht="31.5">
      <c r="A19" s="115"/>
      <c r="B19" s="243" t="s">
        <v>31</v>
      </c>
      <c r="C19" s="243"/>
      <c r="D19" s="243"/>
      <c r="E19" s="94" t="s">
        <v>9</v>
      </c>
      <c r="F19" s="72" t="s">
        <v>10</v>
      </c>
      <c r="G19" s="70">
        <v>0.53</v>
      </c>
      <c r="H19" s="67">
        <f t="shared" si="0"/>
        <v>22681</v>
      </c>
    </row>
    <row r="20" spans="1:8" ht="38.25">
      <c r="A20" s="115"/>
      <c r="B20" s="236" t="s">
        <v>27</v>
      </c>
      <c r="C20" s="236"/>
      <c r="D20" s="236"/>
      <c r="E20" s="92" t="s">
        <v>158</v>
      </c>
      <c r="F20" s="71" t="s">
        <v>25</v>
      </c>
      <c r="G20" s="70">
        <v>0.12</v>
      </c>
      <c r="H20" s="67">
        <f t="shared" si="0"/>
        <v>5135</v>
      </c>
    </row>
    <row r="21" spans="1:8" ht="31.5" customHeight="1">
      <c r="A21" s="115"/>
      <c r="B21" s="236" t="s">
        <v>11</v>
      </c>
      <c r="C21" s="236"/>
      <c r="D21" s="236"/>
      <c r="E21" s="92" t="s">
        <v>9</v>
      </c>
      <c r="F21" s="71" t="s">
        <v>12</v>
      </c>
      <c r="G21" s="70">
        <v>0</v>
      </c>
      <c r="H21" s="67">
        <f t="shared" si="0"/>
        <v>0</v>
      </c>
    </row>
    <row r="22" spans="1:8" ht="15.75">
      <c r="A22" s="115"/>
      <c r="B22" s="236" t="s">
        <v>26</v>
      </c>
      <c r="C22" s="237"/>
      <c r="D22" s="237"/>
      <c r="E22" s="95" t="s">
        <v>13</v>
      </c>
      <c r="F22" s="68" t="s">
        <v>207</v>
      </c>
      <c r="G22" s="70">
        <v>0.05</v>
      </c>
      <c r="H22" s="67">
        <f t="shared" si="0"/>
        <v>2140</v>
      </c>
    </row>
    <row r="23" spans="1:8" ht="15.75">
      <c r="A23" s="115"/>
      <c r="B23" s="236" t="s">
        <v>159</v>
      </c>
      <c r="C23" s="236"/>
      <c r="D23" s="236"/>
      <c r="E23" s="88" t="s">
        <v>36</v>
      </c>
      <c r="F23" s="71" t="s">
        <v>77</v>
      </c>
      <c r="G23" s="70">
        <v>2.21</v>
      </c>
      <c r="H23" s="67">
        <f t="shared" si="0"/>
        <v>94576</v>
      </c>
    </row>
    <row r="24" spans="1:8" ht="38.25">
      <c r="A24" s="115"/>
      <c r="B24" s="238" t="s">
        <v>15</v>
      </c>
      <c r="C24" s="238"/>
      <c r="D24" s="238"/>
      <c r="E24" s="88" t="s">
        <v>140</v>
      </c>
      <c r="F24" s="71" t="s">
        <v>77</v>
      </c>
      <c r="G24" s="70">
        <v>0.45</v>
      </c>
      <c r="H24" s="67">
        <f>ROUND($E$6/4*2*G24*12,0)</f>
        <v>9629</v>
      </c>
    </row>
    <row r="25" spans="1:8" ht="28.5" customHeight="1">
      <c r="A25" s="115"/>
      <c r="B25" s="236" t="s">
        <v>37</v>
      </c>
      <c r="C25" s="237"/>
      <c r="D25" s="237"/>
      <c r="E25" s="88" t="s">
        <v>36</v>
      </c>
      <c r="F25" s="71" t="s">
        <v>77</v>
      </c>
      <c r="G25" s="70">
        <f>3.57-G26-G27</f>
        <v>3.57</v>
      </c>
      <c r="H25" s="67">
        <f t="shared" si="0"/>
        <v>152776</v>
      </c>
    </row>
    <row r="26" spans="1:8" ht="31.5" customHeight="1">
      <c r="A26" s="115"/>
      <c r="B26" s="236" t="s">
        <v>208</v>
      </c>
      <c r="C26" s="236"/>
      <c r="D26" s="236"/>
      <c r="E26" s="92" t="s">
        <v>9</v>
      </c>
      <c r="F26" s="71" t="s">
        <v>77</v>
      </c>
      <c r="G26" s="70">
        <v>0</v>
      </c>
      <c r="H26" s="67">
        <f t="shared" si="0"/>
        <v>0</v>
      </c>
    </row>
    <row r="27" spans="1:8" ht="15.75" customHeight="1">
      <c r="A27" s="115"/>
      <c r="B27" s="236" t="s">
        <v>162</v>
      </c>
      <c r="C27" s="236"/>
      <c r="D27" s="236"/>
      <c r="E27" s="92" t="s">
        <v>9</v>
      </c>
      <c r="F27" s="71" t="s">
        <v>77</v>
      </c>
      <c r="G27" s="70">
        <v>0</v>
      </c>
      <c r="H27" s="67">
        <f t="shared" si="0"/>
        <v>0</v>
      </c>
    </row>
    <row r="28" spans="1:8" ht="36.75" customHeight="1">
      <c r="A28" s="115"/>
      <c r="B28" s="237" t="s">
        <v>21</v>
      </c>
      <c r="C28" s="237"/>
      <c r="D28" s="237"/>
      <c r="E28" s="88" t="s">
        <v>36</v>
      </c>
      <c r="F28" s="71" t="s">
        <v>77</v>
      </c>
      <c r="G28" s="70">
        <v>1.09</v>
      </c>
      <c r="H28" s="67">
        <f t="shared" si="0"/>
        <v>46646</v>
      </c>
    </row>
    <row r="29" spans="1:8" ht="15.75">
      <c r="A29" s="115"/>
      <c r="B29" s="183" t="s">
        <v>163</v>
      </c>
      <c r="C29" s="184"/>
      <c r="D29" s="185"/>
      <c r="E29" s="92" t="s">
        <v>9</v>
      </c>
      <c r="F29" s="71"/>
      <c r="G29" s="70"/>
      <c r="H29" s="67"/>
    </row>
    <row r="30" spans="1:8" ht="15.75">
      <c r="A30" s="115"/>
      <c r="B30" s="183" t="s">
        <v>164</v>
      </c>
      <c r="C30" s="184"/>
      <c r="D30" s="185"/>
      <c r="E30" s="88" t="s">
        <v>36</v>
      </c>
      <c r="F30" s="71"/>
      <c r="G30" s="70"/>
      <c r="H30" s="67"/>
    </row>
    <row r="31" spans="1:8" ht="15.75">
      <c r="A31" s="115"/>
      <c r="B31" s="240" t="s">
        <v>30</v>
      </c>
      <c r="C31" s="241"/>
      <c r="D31" s="242"/>
      <c r="E31" s="14"/>
      <c r="F31" s="71"/>
      <c r="G31" s="22">
        <f>SUM(G16:G30)</f>
        <v>9.8</v>
      </c>
      <c r="H31" s="67">
        <f t="shared" si="0"/>
        <v>419385</v>
      </c>
    </row>
    <row r="32" spans="1:8" ht="19.5" customHeight="1">
      <c r="A32" s="65" t="s">
        <v>165</v>
      </c>
      <c r="B32" s="193" t="s">
        <v>221</v>
      </c>
      <c r="C32" s="180"/>
      <c r="D32" s="180"/>
      <c r="E32" s="181"/>
      <c r="F32" s="71" t="s">
        <v>77</v>
      </c>
      <c r="G32" s="26">
        <v>1.09</v>
      </c>
      <c r="H32" s="67">
        <f t="shared" si="0"/>
        <v>46646</v>
      </c>
    </row>
    <row r="33" spans="1:8" ht="15.75">
      <c r="A33" s="65"/>
      <c r="B33" s="228" t="s">
        <v>210</v>
      </c>
      <c r="C33" s="228"/>
      <c r="D33" s="228"/>
      <c r="E33" s="228"/>
      <c r="F33" s="228"/>
      <c r="G33" s="22">
        <f>SUM(G31:G32)</f>
        <v>10.89</v>
      </c>
      <c r="H33" s="116">
        <f t="shared" si="0"/>
        <v>466031</v>
      </c>
    </row>
    <row r="34" spans="1:8" ht="16.5" thickBot="1">
      <c r="A34" s="117">
        <v>3</v>
      </c>
      <c r="B34" s="229" t="s">
        <v>222</v>
      </c>
      <c r="C34" s="230"/>
      <c r="D34" s="231"/>
      <c r="E34" s="118"/>
      <c r="F34" s="73" t="s">
        <v>77</v>
      </c>
      <c r="G34" s="74">
        <v>0.78</v>
      </c>
      <c r="H34" s="119">
        <f>ROUND($E$6*G34*12,0)</f>
        <v>33380</v>
      </c>
    </row>
    <row r="35" spans="1:8" ht="15.75">
      <c r="A35" s="127"/>
      <c r="B35" s="247" t="s">
        <v>230</v>
      </c>
      <c r="C35" s="247"/>
      <c r="D35" s="247"/>
      <c r="E35" s="247"/>
      <c r="F35" s="134"/>
      <c r="G35" s="130"/>
      <c r="H35" s="131"/>
    </row>
    <row r="36" spans="2:5" ht="15.75" hidden="1">
      <c r="B36" s="244" t="s">
        <v>223</v>
      </c>
      <c r="C36" s="244"/>
      <c r="D36" s="244"/>
      <c r="E36" s="244"/>
    </row>
    <row r="37" spans="2:5" ht="15.75" hidden="1">
      <c r="B37" s="245" t="s">
        <v>224</v>
      </c>
      <c r="C37" s="245"/>
      <c r="D37" s="245"/>
      <c r="E37" s="245"/>
    </row>
    <row r="38" spans="2:5" ht="15.75" hidden="1">
      <c r="B38" s="245" t="s">
        <v>231</v>
      </c>
      <c r="C38" s="245"/>
      <c r="D38" s="245"/>
      <c r="E38" s="245"/>
    </row>
    <row r="39" spans="2:5" ht="15.75">
      <c r="B39" s="133"/>
      <c r="C39" s="133"/>
      <c r="D39" s="133"/>
      <c r="E39" s="133"/>
    </row>
    <row r="40" spans="2:7" ht="15.75">
      <c r="B40" s="37" t="s">
        <v>170</v>
      </c>
      <c r="C40" s="37"/>
      <c r="D40" s="37"/>
      <c r="E40" s="37" t="s">
        <v>232</v>
      </c>
      <c r="F40" s="37"/>
      <c r="G40" s="37"/>
    </row>
    <row r="42" spans="2:5" ht="15.75">
      <c r="B42" s="37" t="s">
        <v>233</v>
      </c>
      <c r="C42" s="37"/>
      <c r="D42" s="37"/>
      <c r="E42" t="s">
        <v>234</v>
      </c>
    </row>
  </sheetData>
  <mergeCells count="31">
    <mergeCell ref="D1:H1"/>
    <mergeCell ref="A3:H3"/>
    <mergeCell ref="B5:E5"/>
    <mergeCell ref="B35:E35"/>
    <mergeCell ref="B30:D30"/>
    <mergeCell ref="B31:D31"/>
    <mergeCell ref="B32:E32"/>
    <mergeCell ref="B33:F33"/>
    <mergeCell ref="B26:D26"/>
    <mergeCell ref="B27:D27"/>
    <mergeCell ref="B36:E36"/>
    <mergeCell ref="B37:E37"/>
    <mergeCell ref="B38:E38"/>
    <mergeCell ref="B34:D34"/>
    <mergeCell ref="B29:D29"/>
    <mergeCell ref="B22:D22"/>
    <mergeCell ref="B23:D23"/>
    <mergeCell ref="B24:D24"/>
    <mergeCell ref="B25:D25"/>
    <mergeCell ref="B19:D19"/>
    <mergeCell ref="B20:D20"/>
    <mergeCell ref="B21:D21"/>
    <mergeCell ref="B28:D28"/>
    <mergeCell ref="B14:F14"/>
    <mergeCell ref="B16:D16"/>
    <mergeCell ref="B17:D17"/>
    <mergeCell ref="B18:D18"/>
    <mergeCell ref="B10:D10"/>
    <mergeCell ref="B11:F11"/>
    <mergeCell ref="B12:F12"/>
    <mergeCell ref="B13:F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:H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6.00390625" style="0" customWidth="1"/>
    <col min="6" max="6" width="17.75390625" style="0" hidden="1" customWidth="1"/>
    <col min="7" max="7" width="7.375" style="0" hidden="1" customWidth="1"/>
    <col min="8" max="8" width="13.25390625" style="0" customWidth="1"/>
  </cols>
  <sheetData>
    <row r="1" spans="1:8" ht="85.5" customHeight="1">
      <c r="A1" s="208" t="s">
        <v>220</v>
      </c>
      <c r="B1" s="208"/>
      <c r="C1" s="208"/>
      <c r="D1" s="208"/>
      <c r="E1" s="208"/>
      <c r="F1" s="208"/>
      <c r="G1" s="208"/>
      <c r="H1" s="208"/>
    </row>
    <row r="2" spans="1:6" ht="18.75">
      <c r="A2" t="s">
        <v>84</v>
      </c>
      <c r="B2" s="1" t="s">
        <v>83</v>
      </c>
      <c r="C2" s="2"/>
      <c r="D2" s="2" t="s">
        <v>0</v>
      </c>
      <c r="E2" s="29">
        <v>3566.2</v>
      </c>
      <c r="F2" s="2"/>
    </row>
    <row r="3" spans="2:6" ht="15.75">
      <c r="B3" s="3" t="s">
        <v>1</v>
      </c>
      <c r="C3" s="30">
        <v>5</v>
      </c>
      <c r="D3" s="2" t="s">
        <v>2</v>
      </c>
      <c r="E3" s="30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38.25">
      <c r="A6" s="63" t="s">
        <v>61</v>
      </c>
      <c r="B6" s="232" t="s">
        <v>145</v>
      </c>
      <c r="C6" s="233"/>
      <c r="D6" s="234"/>
      <c r="E6" s="64" t="s">
        <v>6</v>
      </c>
      <c r="F6" s="64" t="s">
        <v>7</v>
      </c>
      <c r="G6" s="112" t="s">
        <v>204</v>
      </c>
      <c r="H6" s="113" t="s">
        <v>136</v>
      </c>
    </row>
    <row r="7" spans="1:8" ht="15.75" customHeight="1">
      <c r="A7" s="65">
        <v>1</v>
      </c>
      <c r="B7" s="235" t="s">
        <v>137</v>
      </c>
      <c r="C7" s="235"/>
      <c r="D7" s="235"/>
      <c r="E7" s="235"/>
      <c r="F7" s="235"/>
      <c r="G7" s="66"/>
      <c r="H7" s="114"/>
    </row>
    <row r="8" spans="1:8" ht="33" customHeight="1">
      <c r="A8" s="65"/>
      <c r="B8" s="205" t="s">
        <v>205</v>
      </c>
      <c r="C8" s="205"/>
      <c r="D8" s="205"/>
      <c r="E8" s="205"/>
      <c r="F8" s="205"/>
      <c r="G8" s="26">
        <f>G29</f>
        <v>10.89</v>
      </c>
      <c r="H8" s="114">
        <f>ROUND($E$2*G8*12,0)</f>
        <v>466031</v>
      </c>
    </row>
    <row r="9" spans="1:8" ht="15.75" customHeight="1">
      <c r="A9" s="65"/>
      <c r="B9" s="239" t="s">
        <v>138</v>
      </c>
      <c r="C9" s="239"/>
      <c r="D9" s="239"/>
      <c r="E9" s="239"/>
      <c r="F9" s="239"/>
      <c r="G9" s="25">
        <v>0.78</v>
      </c>
      <c r="H9" s="114">
        <f>ROUND($E$2*G9*12,0)</f>
        <v>33380</v>
      </c>
    </row>
    <row r="10" spans="1:8" ht="18.75" customHeight="1">
      <c r="A10" s="65">
        <v>2</v>
      </c>
      <c r="B10" s="216" t="s">
        <v>74</v>
      </c>
      <c r="C10" s="216"/>
      <c r="D10" s="216"/>
      <c r="E10" s="216"/>
      <c r="F10" s="216"/>
      <c r="G10" s="68"/>
      <c r="H10" s="114"/>
    </row>
    <row r="11" spans="1:8" ht="15.75" customHeight="1">
      <c r="A11" s="65" t="s">
        <v>139</v>
      </c>
      <c r="B11" s="19" t="s">
        <v>75</v>
      </c>
      <c r="C11" s="19"/>
      <c r="D11" s="19"/>
      <c r="E11" s="19"/>
      <c r="F11" s="5"/>
      <c r="G11" s="79"/>
      <c r="H11" s="114"/>
    </row>
    <row r="12" spans="1:8" ht="31.5" customHeight="1">
      <c r="A12" s="115"/>
      <c r="B12" s="238" t="s">
        <v>206</v>
      </c>
      <c r="C12" s="238"/>
      <c r="D12" s="238"/>
      <c r="E12" s="88" t="s">
        <v>32</v>
      </c>
      <c r="F12" s="69" t="s">
        <v>24</v>
      </c>
      <c r="G12" s="70">
        <v>1.09</v>
      </c>
      <c r="H12" s="67">
        <f aca="true" t="shared" si="0" ref="H12:H29">ROUND($E$2*G12*12,0)</f>
        <v>46646</v>
      </c>
    </row>
    <row r="13" spans="1:8" ht="15.75">
      <c r="A13" s="115"/>
      <c r="B13" s="238" t="s">
        <v>17</v>
      </c>
      <c r="C13" s="238"/>
      <c r="D13" s="238"/>
      <c r="E13" s="88" t="s">
        <v>32</v>
      </c>
      <c r="F13" s="69" t="s">
        <v>19</v>
      </c>
      <c r="G13" s="70">
        <v>0.29</v>
      </c>
      <c r="H13" s="67">
        <f t="shared" si="0"/>
        <v>12410</v>
      </c>
    </row>
    <row r="14" spans="1:8" ht="15.75" customHeight="1">
      <c r="A14" s="115"/>
      <c r="B14" s="236" t="s">
        <v>23</v>
      </c>
      <c r="C14" s="236"/>
      <c r="D14" s="236"/>
      <c r="E14" s="92" t="s">
        <v>157</v>
      </c>
      <c r="F14" s="71" t="s">
        <v>20</v>
      </c>
      <c r="G14" s="70">
        <v>0.4</v>
      </c>
      <c r="H14" s="67">
        <f t="shared" si="0"/>
        <v>17118</v>
      </c>
    </row>
    <row r="15" spans="1:8" ht="31.5">
      <c r="A15" s="115"/>
      <c r="B15" s="243" t="s">
        <v>31</v>
      </c>
      <c r="C15" s="243"/>
      <c r="D15" s="243"/>
      <c r="E15" s="94" t="s">
        <v>9</v>
      </c>
      <c r="F15" s="72" t="s">
        <v>10</v>
      </c>
      <c r="G15" s="70">
        <v>0.53</v>
      </c>
      <c r="H15" s="67">
        <f t="shared" si="0"/>
        <v>22681</v>
      </c>
    </row>
    <row r="16" spans="1:8" ht="38.25">
      <c r="A16" s="115"/>
      <c r="B16" s="236" t="s">
        <v>27</v>
      </c>
      <c r="C16" s="236"/>
      <c r="D16" s="236"/>
      <c r="E16" s="92" t="s">
        <v>158</v>
      </c>
      <c r="F16" s="71" t="s">
        <v>25</v>
      </c>
      <c r="G16" s="70">
        <v>0.12</v>
      </c>
      <c r="H16" s="67">
        <f t="shared" si="0"/>
        <v>5135</v>
      </c>
    </row>
    <row r="17" spans="1:8" ht="31.5" customHeight="1">
      <c r="A17" s="115"/>
      <c r="B17" s="236" t="s">
        <v>11</v>
      </c>
      <c r="C17" s="236"/>
      <c r="D17" s="236"/>
      <c r="E17" s="92" t="s">
        <v>9</v>
      </c>
      <c r="F17" s="71" t="s">
        <v>12</v>
      </c>
      <c r="G17" s="70">
        <v>0</v>
      </c>
      <c r="H17" s="67">
        <f t="shared" si="0"/>
        <v>0</v>
      </c>
    </row>
    <row r="18" spans="1:8" ht="15.75">
      <c r="A18" s="115"/>
      <c r="B18" s="236" t="s">
        <v>26</v>
      </c>
      <c r="C18" s="237"/>
      <c r="D18" s="237"/>
      <c r="E18" s="95" t="s">
        <v>13</v>
      </c>
      <c r="F18" s="68" t="s">
        <v>207</v>
      </c>
      <c r="G18" s="70">
        <v>0.05</v>
      </c>
      <c r="H18" s="67">
        <f t="shared" si="0"/>
        <v>2140</v>
      </c>
    </row>
    <row r="19" spans="1:8" ht="15.75">
      <c r="A19" s="115"/>
      <c r="B19" s="236" t="s">
        <v>159</v>
      </c>
      <c r="C19" s="236"/>
      <c r="D19" s="236"/>
      <c r="E19" s="88" t="s">
        <v>36</v>
      </c>
      <c r="F19" s="71" t="s">
        <v>77</v>
      </c>
      <c r="G19" s="70">
        <v>2.21</v>
      </c>
      <c r="H19" s="67">
        <f t="shared" si="0"/>
        <v>94576</v>
      </c>
    </row>
    <row r="20" spans="1:8" ht="38.25">
      <c r="A20" s="115"/>
      <c r="B20" s="238" t="s">
        <v>15</v>
      </c>
      <c r="C20" s="238"/>
      <c r="D20" s="238"/>
      <c r="E20" s="88" t="s">
        <v>140</v>
      </c>
      <c r="F20" s="71" t="s">
        <v>77</v>
      </c>
      <c r="G20" s="70">
        <v>0.45</v>
      </c>
      <c r="H20" s="67">
        <f>ROUND($E$2/4*2*G20*12,0)</f>
        <v>9629</v>
      </c>
    </row>
    <row r="21" spans="1:8" ht="28.5" customHeight="1">
      <c r="A21" s="115"/>
      <c r="B21" s="236" t="s">
        <v>37</v>
      </c>
      <c r="C21" s="237"/>
      <c r="D21" s="237"/>
      <c r="E21" s="88" t="s">
        <v>36</v>
      </c>
      <c r="F21" s="71" t="s">
        <v>77</v>
      </c>
      <c r="G21" s="70">
        <f>3.57-G22-G23</f>
        <v>3.57</v>
      </c>
      <c r="H21" s="67">
        <f t="shared" si="0"/>
        <v>152776</v>
      </c>
    </row>
    <row r="22" spans="1:8" ht="31.5" customHeight="1">
      <c r="A22" s="115"/>
      <c r="B22" s="236" t="s">
        <v>208</v>
      </c>
      <c r="C22" s="236"/>
      <c r="D22" s="236"/>
      <c r="E22" s="92" t="s">
        <v>9</v>
      </c>
      <c r="F22" s="71" t="s">
        <v>77</v>
      </c>
      <c r="G22" s="70">
        <v>0</v>
      </c>
      <c r="H22" s="67">
        <f t="shared" si="0"/>
        <v>0</v>
      </c>
    </row>
    <row r="23" spans="1:8" ht="15.75" customHeight="1">
      <c r="A23" s="115"/>
      <c r="B23" s="236" t="s">
        <v>162</v>
      </c>
      <c r="C23" s="236"/>
      <c r="D23" s="236"/>
      <c r="E23" s="92" t="s">
        <v>9</v>
      </c>
      <c r="F23" s="71" t="s">
        <v>77</v>
      </c>
      <c r="G23" s="70">
        <v>0</v>
      </c>
      <c r="H23" s="67">
        <f t="shared" si="0"/>
        <v>0</v>
      </c>
    </row>
    <row r="24" spans="1:8" ht="36.75" customHeight="1">
      <c r="A24" s="115"/>
      <c r="B24" s="237" t="s">
        <v>21</v>
      </c>
      <c r="C24" s="237"/>
      <c r="D24" s="237"/>
      <c r="E24" s="88" t="s">
        <v>36</v>
      </c>
      <c r="F24" s="71" t="s">
        <v>77</v>
      </c>
      <c r="G24" s="70">
        <v>1.09</v>
      </c>
      <c r="H24" s="67">
        <f t="shared" si="0"/>
        <v>46646</v>
      </c>
    </row>
    <row r="25" spans="1:8" ht="15.75">
      <c r="A25" s="115"/>
      <c r="B25" s="183" t="s">
        <v>163</v>
      </c>
      <c r="C25" s="184"/>
      <c r="D25" s="185"/>
      <c r="E25" s="92" t="s">
        <v>9</v>
      </c>
      <c r="F25" s="71"/>
      <c r="G25" s="70"/>
      <c r="H25" s="67"/>
    </row>
    <row r="26" spans="1:8" ht="15.75">
      <c r="A26" s="115"/>
      <c r="B26" s="183" t="s">
        <v>164</v>
      </c>
      <c r="C26" s="184"/>
      <c r="D26" s="185"/>
      <c r="E26" s="88" t="s">
        <v>36</v>
      </c>
      <c r="F26" s="71"/>
      <c r="G26" s="70"/>
      <c r="H26" s="67"/>
    </row>
    <row r="27" spans="1:8" ht="15.75">
      <c r="A27" s="115"/>
      <c r="B27" s="240" t="s">
        <v>30</v>
      </c>
      <c r="C27" s="241"/>
      <c r="D27" s="242"/>
      <c r="E27" s="14"/>
      <c r="F27" s="71"/>
      <c r="G27" s="22">
        <f>SUM(G12:G26)</f>
        <v>9.8</v>
      </c>
      <c r="H27" s="67">
        <f t="shared" si="0"/>
        <v>419385</v>
      </c>
    </row>
    <row r="28" spans="1:8" ht="19.5" customHeight="1">
      <c r="A28" s="65" t="s">
        <v>165</v>
      </c>
      <c r="B28" s="193" t="s">
        <v>221</v>
      </c>
      <c r="C28" s="180"/>
      <c r="D28" s="180"/>
      <c r="E28" s="181"/>
      <c r="F28" s="71" t="s">
        <v>77</v>
      </c>
      <c r="G28" s="26">
        <v>1.09</v>
      </c>
      <c r="H28" s="67">
        <f t="shared" si="0"/>
        <v>46646</v>
      </c>
    </row>
    <row r="29" spans="1:8" ht="15.75">
      <c r="A29" s="65"/>
      <c r="B29" s="228" t="s">
        <v>210</v>
      </c>
      <c r="C29" s="228"/>
      <c r="D29" s="228"/>
      <c r="E29" s="228"/>
      <c r="F29" s="228"/>
      <c r="G29" s="22">
        <f>SUM(G27:G28)</f>
        <v>10.89</v>
      </c>
      <c r="H29" s="116">
        <f t="shared" si="0"/>
        <v>466031</v>
      </c>
    </row>
    <row r="30" spans="1:8" ht="16.5" thickBot="1">
      <c r="A30" s="117">
        <v>3</v>
      </c>
      <c r="B30" s="229" t="s">
        <v>222</v>
      </c>
      <c r="C30" s="230"/>
      <c r="D30" s="231"/>
      <c r="E30" s="118"/>
      <c r="F30" s="73" t="s">
        <v>77</v>
      </c>
      <c r="G30" s="74">
        <v>0.78</v>
      </c>
      <c r="H30" s="119">
        <f>ROUND($E$2*G30*12,0)</f>
        <v>33380</v>
      </c>
    </row>
    <row r="31" spans="1:8" ht="16.5" thickBot="1">
      <c r="A31" s="127"/>
      <c r="B31" s="128"/>
      <c r="C31" s="128"/>
      <c r="D31" s="128"/>
      <c r="E31" s="128"/>
      <c r="F31" s="129"/>
      <c r="G31" s="130"/>
      <c r="H31" s="131"/>
    </row>
    <row r="32" spans="1:5" ht="15.75" customHeight="1">
      <c r="A32" s="125"/>
      <c r="B32" s="248" t="s">
        <v>223</v>
      </c>
      <c r="C32" s="248"/>
      <c r="D32" s="248"/>
      <c r="E32" s="248"/>
    </row>
    <row r="33" spans="1:5" ht="15.75" customHeight="1">
      <c r="A33" s="125"/>
      <c r="B33" s="249" t="s">
        <v>224</v>
      </c>
      <c r="C33" s="249"/>
      <c r="D33" s="249"/>
      <c r="E33" s="249"/>
    </row>
    <row r="34" spans="1:5" ht="15.75" customHeight="1">
      <c r="A34" s="125"/>
      <c r="B34" s="249" t="s">
        <v>225</v>
      </c>
      <c r="C34" s="249"/>
      <c r="D34" s="249"/>
      <c r="E34" s="249"/>
    </row>
    <row r="35" spans="1:5" ht="31.5" customHeight="1">
      <c r="A35" s="125"/>
      <c r="B35" s="249" t="s">
        <v>226</v>
      </c>
      <c r="C35" s="249"/>
      <c r="D35" s="249"/>
      <c r="E35" s="249"/>
    </row>
    <row r="37" spans="2:8" ht="15.75">
      <c r="B37" s="37" t="s">
        <v>82</v>
      </c>
      <c r="E37" s="227" t="s">
        <v>219</v>
      </c>
      <c r="F37" s="227"/>
      <c r="G37" s="227"/>
      <c r="H37" s="227"/>
    </row>
  </sheetData>
  <mergeCells count="30"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8:E28"/>
    <mergeCell ref="B29:F29"/>
    <mergeCell ref="B30:D30"/>
    <mergeCell ref="B26:D26"/>
    <mergeCell ref="B27:D27"/>
    <mergeCell ref="E37:H37"/>
    <mergeCell ref="B32:E32"/>
    <mergeCell ref="B33:E33"/>
    <mergeCell ref="B34:E34"/>
    <mergeCell ref="B35:E3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E8" sqref="E8:E11"/>
    </sheetView>
  </sheetViews>
  <sheetFormatPr defaultColWidth="9.00390625" defaultRowHeight="15.75"/>
  <cols>
    <col min="1" max="1" width="6.00390625" style="0" customWidth="1"/>
    <col min="2" max="2" width="26.50390625" style="0" customWidth="1"/>
    <col min="3" max="3" width="4.75390625" style="0" customWidth="1"/>
    <col min="4" max="4" width="17.875" style="0" customWidth="1"/>
    <col min="5" max="5" width="17.125" style="0" customWidth="1"/>
    <col min="6" max="6" width="0.37109375" style="0" hidden="1" customWidth="1"/>
    <col min="7" max="8" width="12.875" style="0" customWidth="1"/>
  </cols>
  <sheetData>
    <row r="1" spans="4:8" ht="70.5" customHeight="1">
      <c r="D1" s="246" t="s">
        <v>238</v>
      </c>
      <c r="E1" s="246"/>
      <c r="F1" s="246"/>
      <c r="G1" s="246"/>
      <c r="H1" s="246"/>
    </row>
    <row r="2" spans="4:8" ht="15.75">
      <c r="D2" s="132"/>
      <c r="E2" s="132"/>
      <c r="F2" s="132"/>
      <c r="G2" s="132"/>
      <c r="H2" s="132"/>
    </row>
    <row r="3" spans="4:8" ht="15.75">
      <c r="D3" s="132"/>
      <c r="E3" s="132"/>
      <c r="F3" s="132"/>
      <c r="G3" s="132"/>
      <c r="H3" s="132"/>
    </row>
    <row r="4" spans="1:8" ht="19.5">
      <c r="A4" s="208" t="s">
        <v>228</v>
      </c>
      <c r="B4" s="208"/>
      <c r="C4" s="208"/>
      <c r="D4" s="208"/>
      <c r="E4" s="208"/>
      <c r="F4" s="208"/>
      <c r="G4" s="208"/>
      <c r="H4" s="208"/>
    </row>
    <row r="5" spans="1:6" ht="19.5">
      <c r="A5" s="126"/>
      <c r="B5" s="126"/>
      <c r="C5" s="126"/>
      <c r="D5" s="126"/>
      <c r="E5" s="126"/>
      <c r="F5" s="126"/>
    </row>
    <row r="6" spans="1:7" ht="19.5">
      <c r="A6" s="126"/>
      <c r="B6" s="245" t="s">
        <v>243</v>
      </c>
      <c r="C6" s="245"/>
      <c r="D6" s="245"/>
      <c r="E6" s="245"/>
      <c r="F6" s="245"/>
      <c r="G6" s="245"/>
    </row>
    <row r="7" spans="1:7" ht="19.5">
      <c r="A7" s="126"/>
      <c r="B7" s="139"/>
      <c r="C7" s="139"/>
      <c r="D7" s="139"/>
      <c r="E7" s="139"/>
      <c r="F7" s="139"/>
      <c r="G7" s="139"/>
    </row>
    <row r="8" spans="1:6" ht="18.75">
      <c r="A8" t="s">
        <v>84</v>
      </c>
      <c r="B8" s="1" t="s">
        <v>83</v>
      </c>
      <c r="C8" s="2"/>
      <c r="D8" s="2" t="s">
        <v>0</v>
      </c>
      <c r="E8" s="146">
        <v>3560.7</v>
      </c>
      <c r="F8" s="2"/>
    </row>
    <row r="9" spans="2:6" ht="15.75">
      <c r="B9" s="3" t="s">
        <v>1</v>
      </c>
      <c r="C9" s="30">
        <v>5</v>
      </c>
      <c r="D9" s="2" t="s">
        <v>2</v>
      </c>
      <c r="E9" s="30">
        <v>80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15.5" customHeight="1">
      <c r="A12" s="63" t="s">
        <v>61</v>
      </c>
      <c r="B12" s="232" t="s">
        <v>145</v>
      </c>
      <c r="C12" s="233"/>
      <c r="D12" s="234"/>
      <c r="E12" s="64" t="s">
        <v>6</v>
      </c>
      <c r="F12" s="64" t="s">
        <v>7</v>
      </c>
      <c r="G12" s="143" t="s">
        <v>244</v>
      </c>
      <c r="H12" s="144" t="s">
        <v>245</v>
      </c>
    </row>
    <row r="13" spans="1:8" ht="25.5">
      <c r="A13" s="135">
        <v>1</v>
      </c>
      <c r="B13" s="179">
        <v>2</v>
      </c>
      <c r="C13" s="222"/>
      <c r="D13" s="223"/>
      <c r="E13" s="136">
        <v>3</v>
      </c>
      <c r="F13" s="136"/>
      <c r="G13" s="136">
        <v>4</v>
      </c>
      <c r="H13" s="137" t="s">
        <v>246</v>
      </c>
    </row>
    <row r="14" spans="1:8" ht="15.75" hidden="1">
      <c r="A14" s="65">
        <v>1</v>
      </c>
      <c r="B14" s="235" t="s">
        <v>137</v>
      </c>
      <c r="C14" s="235"/>
      <c r="D14" s="235"/>
      <c r="E14" s="235"/>
      <c r="F14" s="235"/>
      <c r="G14" s="66"/>
      <c r="H14" s="114"/>
    </row>
    <row r="15" spans="1:8" ht="15.75" hidden="1">
      <c r="A15" s="65"/>
      <c r="B15" s="205" t="s">
        <v>205</v>
      </c>
      <c r="C15" s="205"/>
      <c r="D15" s="205"/>
      <c r="E15" s="205"/>
      <c r="F15" s="205"/>
      <c r="G15" s="26">
        <f>G36</f>
        <v>10.740000000000002</v>
      </c>
      <c r="H15" s="114">
        <f>ROUND($E$8*G15*12,0)</f>
        <v>458903</v>
      </c>
    </row>
    <row r="16" spans="1:8" ht="15.75" hidden="1">
      <c r="A16" s="65"/>
      <c r="B16" s="239" t="s">
        <v>138</v>
      </c>
      <c r="C16" s="239"/>
      <c r="D16" s="239"/>
      <c r="E16" s="239"/>
      <c r="F16" s="239"/>
      <c r="G16" s="25">
        <v>0.78</v>
      </c>
      <c r="H16" s="114">
        <f>ROUND($E$8*G16*12,0)</f>
        <v>33328</v>
      </c>
    </row>
    <row r="17" spans="1:8" ht="18.75">
      <c r="A17" s="65" t="s">
        <v>91</v>
      </c>
      <c r="B17" s="216" t="s">
        <v>74</v>
      </c>
      <c r="C17" s="216"/>
      <c r="D17" s="216"/>
      <c r="E17" s="216"/>
      <c r="F17" s="252"/>
      <c r="G17" s="68"/>
      <c r="H17" s="114"/>
    </row>
    <row r="18" spans="1:8" ht="15.75">
      <c r="A18" s="65" t="s">
        <v>235</v>
      </c>
      <c r="B18" s="19" t="s">
        <v>75</v>
      </c>
      <c r="C18" s="19"/>
      <c r="D18" s="19"/>
      <c r="E18" s="19"/>
      <c r="F18" s="5"/>
      <c r="G18" s="79"/>
      <c r="H18" s="114"/>
    </row>
    <row r="19" spans="1:8" ht="31.5" customHeight="1">
      <c r="A19" s="115"/>
      <c r="B19" s="238" t="s">
        <v>206</v>
      </c>
      <c r="C19" s="238"/>
      <c r="D19" s="238"/>
      <c r="E19" s="88" t="s">
        <v>32</v>
      </c>
      <c r="F19" s="69" t="s">
        <v>24</v>
      </c>
      <c r="G19" s="70">
        <v>1.12</v>
      </c>
      <c r="H19" s="67">
        <f>ROUND($E$8*G19*5,0)</f>
        <v>19940</v>
      </c>
    </row>
    <row r="20" spans="1:8" ht="17.25" customHeight="1">
      <c r="A20" s="115"/>
      <c r="B20" s="238" t="s">
        <v>17</v>
      </c>
      <c r="C20" s="238"/>
      <c r="D20" s="238"/>
      <c r="E20" s="88" t="s">
        <v>32</v>
      </c>
      <c r="F20" s="69" t="s">
        <v>19</v>
      </c>
      <c r="G20" s="70">
        <v>0.3</v>
      </c>
      <c r="H20" s="67">
        <f aca="true" t="shared" si="0" ref="H20:H37">ROUND($E$8*G20*5,0)</f>
        <v>5341</v>
      </c>
    </row>
    <row r="21" spans="1:8" ht="16.5" customHeight="1">
      <c r="A21" s="115"/>
      <c r="B21" s="236" t="s">
        <v>23</v>
      </c>
      <c r="C21" s="236"/>
      <c r="D21" s="236"/>
      <c r="E21" s="92" t="s">
        <v>157</v>
      </c>
      <c r="F21" s="71" t="s">
        <v>20</v>
      </c>
      <c r="G21" s="70">
        <v>0.41</v>
      </c>
      <c r="H21" s="67">
        <f t="shared" si="0"/>
        <v>7299</v>
      </c>
    </row>
    <row r="22" spans="1:8" ht="15" customHeight="1">
      <c r="A22" s="115"/>
      <c r="B22" s="243" t="s">
        <v>31</v>
      </c>
      <c r="C22" s="243"/>
      <c r="D22" s="243"/>
      <c r="E22" s="94" t="s">
        <v>9</v>
      </c>
      <c r="F22" s="72" t="s">
        <v>10</v>
      </c>
      <c r="G22" s="70">
        <v>0.54</v>
      </c>
      <c r="H22" s="67">
        <f t="shared" si="0"/>
        <v>9614</v>
      </c>
    </row>
    <row r="23" spans="1:8" ht="64.5" customHeight="1">
      <c r="A23" s="115"/>
      <c r="B23" s="236" t="s">
        <v>27</v>
      </c>
      <c r="C23" s="236"/>
      <c r="D23" s="236"/>
      <c r="E23" s="92" t="s">
        <v>158</v>
      </c>
      <c r="F23" s="71" t="s">
        <v>25</v>
      </c>
      <c r="G23" s="70">
        <v>0.13</v>
      </c>
      <c r="H23" s="67">
        <f t="shared" si="0"/>
        <v>2314</v>
      </c>
    </row>
    <row r="24" spans="1:8" ht="16.5" customHeight="1">
      <c r="A24" s="115"/>
      <c r="B24" s="236" t="s">
        <v>11</v>
      </c>
      <c r="C24" s="236"/>
      <c r="D24" s="236"/>
      <c r="E24" s="92" t="s">
        <v>9</v>
      </c>
      <c r="F24" s="71" t="s">
        <v>12</v>
      </c>
      <c r="G24" s="140">
        <v>0</v>
      </c>
      <c r="H24" s="67">
        <f t="shared" si="0"/>
        <v>0</v>
      </c>
    </row>
    <row r="25" spans="1:8" ht="15.75">
      <c r="A25" s="115"/>
      <c r="B25" s="236" t="s">
        <v>26</v>
      </c>
      <c r="C25" s="237"/>
      <c r="D25" s="237"/>
      <c r="E25" s="95" t="s">
        <v>13</v>
      </c>
      <c r="F25" s="68" t="s">
        <v>207</v>
      </c>
      <c r="G25" s="70">
        <v>0.05</v>
      </c>
      <c r="H25" s="67">
        <f t="shared" si="0"/>
        <v>890</v>
      </c>
    </row>
    <row r="26" spans="1:8" ht="54.75" customHeight="1">
      <c r="A26" s="115"/>
      <c r="B26" s="236" t="s">
        <v>159</v>
      </c>
      <c r="C26" s="236"/>
      <c r="D26" s="236"/>
      <c r="E26" s="88" t="s">
        <v>239</v>
      </c>
      <c r="F26" s="71" t="s">
        <v>77</v>
      </c>
      <c r="G26" s="70">
        <v>1.63</v>
      </c>
      <c r="H26" s="67">
        <f t="shared" si="0"/>
        <v>29020</v>
      </c>
    </row>
    <row r="27" spans="1:8" ht="54" customHeight="1">
      <c r="A27" s="115"/>
      <c r="B27" s="238" t="s">
        <v>15</v>
      </c>
      <c r="C27" s="238"/>
      <c r="D27" s="238"/>
      <c r="E27" s="88" t="s">
        <v>140</v>
      </c>
      <c r="F27" s="71" t="s">
        <v>77</v>
      </c>
      <c r="G27" s="140">
        <v>0</v>
      </c>
      <c r="H27" s="67">
        <f t="shared" si="0"/>
        <v>0</v>
      </c>
    </row>
    <row r="28" spans="1:8" ht="32.25" customHeight="1">
      <c r="A28" s="115"/>
      <c r="B28" s="236" t="s">
        <v>37</v>
      </c>
      <c r="C28" s="237"/>
      <c r="D28" s="237"/>
      <c r="E28" s="88" t="s">
        <v>36</v>
      </c>
      <c r="F28" s="71" t="s">
        <v>77</v>
      </c>
      <c r="G28" s="70">
        <f>4.32-G29-G30</f>
        <v>4.32</v>
      </c>
      <c r="H28" s="67">
        <f t="shared" si="0"/>
        <v>76911</v>
      </c>
    </row>
    <row r="29" spans="1:8" ht="15.75" customHeight="1">
      <c r="A29" s="115"/>
      <c r="B29" s="236" t="s">
        <v>208</v>
      </c>
      <c r="C29" s="236"/>
      <c r="D29" s="236"/>
      <c r="E29" s="92" t="s">
        <v>9</v>
      </c>
      <c r="F29" s="71" t="s">
        <v>77</v>
      </c>
      <c r="G29" s="140">
        <v>0</v>
      </c>
      <c r="H29" s="67">
        <f t="shared" si="0"/>
        <v>0</v>
      </c>
    </row>
    <row r="30" spans="1:8" ht="17.25" customHeight="1">
      <c r="A30" s="115"/>
      <c r="B30" s="236" t="s">
        <v>162</v>
      </c>
      <c r="C30" s="236"/>
      <c r="D30" s="236"/>
      <c r="E30" s="92" t="s">
        <v>9</v>
      </c>
      <c r="F30" s="71" t="s">
        <v>77</v>
      </c>
      <c r="G30" s="140">
        <v>0</v>
      </c>
      <c r="H30" s="67">
        <f t="shared" si="0"/>
        <v>0</v>
      </c>
    </row>
    <row r="31" spans="1:8" ht="25.5" customHeight="1">
      <c r="A31" s="115"/>
      <c r="B31" s="237" t="s">
        <v>21</v>
      </c>
      <c r="C31" s="237"/>
      <c r="D31" s="237"/>
      <c r="E31" s="88" t="s">
        <v>36</v>
      </c>
      <c r="F31" s="71" t="s">
        <v>77</v>
      </c>
      <c r="G31" s="70">
        <v>1.12</v>
      </c>
      <c r="H31" s="67">
        <f t="shared" si="0"/>
        <v>19940</v>
      </c>
    </row>
    <row r="32" spans="1:8" ht="15.75" hidden="1">
      <c r="A32" s="115"/>
      <c r="B32" s="183" t="s">
        <v>163</v>
      </c>
      <c r="C32" s="184"/>
      <c r="D32" s="185"/>
      <c r="E32" s="92" t="s">
        <v>9</v>
      </c>
      <c r="F32" s="71"/>
      <c r="G32" s="70">
        <v>0</v>
      </c>
      <c r="H32" s="67">
        <f t="shared" si="0"/>
        <v>0</v>
      </c>
    </row>
    <row r="33" spans="1:8" ht="30.75" customHeight="1" hidden="1">
      <c r="A33" s="115"/>
      <c r="B33" s="183" t="s">
        <v>164</v>
      </c>
      <c r="C33" s="184"/>
      <c r="D33" s="185"/>
      <c r="E33" s="88" t="s">
        <v>36</v>
      </c>
      <c r="F33" s="71"/>
      <c r="G33" s="70">
        <v>0</v>
      </c>
      <c r="H33" s="67">
        <f t="shared" si="0"/>
        <v>0</v>
      </c>
    </row>
    <row r="34" spans="1:8" ht="15.75">
      <c r="A34" s="115"/>
      <c r="B34" s="240" t="s">
        <v>30</v>
      </c>
      <c r="C34" s="241"/>
      <c r="D34" s="242"/>
      <c r="E34" s="14"/>
      <c r="F34" s="71"/>
      <c r="G34" s="22">
        <f>SUM(G19:G33)</f>
        <v>9.620000000000001</v>
      </c>
      <c r="H34" s="67">
        <f t="shared" si="0"/>
        <v>171270</v>
      </c>
    </row>
    <row r="35" spans="1:8" ht="17.25" customHeight="1">
      <c r="A35" s="65" t="s">
        <v>236</v>
      </c>
      <c r="B35" s="193" t="s">
        <v>221</v>
      </c>
      <c r="C35" s="180"/>
      <c r="D35" s="181"/>
      <c r="E35" s="92" t="s">
        <v>240</v>
      </c>
      <c r="F35" s="71" t="s">
        <v>77</v>
      </c>
      <c r="G35" s="26">
        <v>1.12</v>
      </c>
      <c r="H35" s="67">
        <f t="shared" si="0"/>
        <v>19940</v>
      </c>
    </row>
    <row r="36" spans="1:8" ht="15.75">
      <c r="A36" s="65" t="s">
        <v>237</v>
      </c>
      <c r="B36" s="250" t="s">
        <v>210</v>
      </c>
      <c r="C36" s="251"/>
      <c r="D36" s="251"/>
      <c r="E36" s="19"/>
      <c r="F36" s="138"/>
      <c r="G36" s="22">
        <f>SUM(G34:G35)</f>
        <v>10.740000000000002</v>
      </c>
      <c r="H36" s="67">
        <f t="shared" si="0"/>
        <v>191210</v>
      </c>
    </row>
    <row r="37" spans="1:8" ht="18" customHeight="1" thickBot="1">
      <c r="A37" s="117" t="s">
        <v>94</v>
      </c>
      <c r="B37" s="229" t="s">
        <v>222</v>
      </c>
      <c r="C37" s="230"/>
      <c r="D37" s="231"/>
      <c r="E37" s="141" t="s">
        <v>240</v>
      </c>
      <c r="F37" s="73" t="s">
        <v>77</v>
      </c>
      <c r="G37" s="142">
        <v>0.8</v>
      </c>
      <c r="H37" s="147">
        <f t="shared" si="0"/>
        <v>14243</v>
      </c>
    </row>
    <row r="38" spans="1:8" ht="15.75">
      <c r="A38" s="127"/>
      <c r="B38" s="247" t="s">
        <v>230</v>
      </c>
      <c r="C38" s="247"/>
      <c r="D38" s="247"/>
      <c r="E38" s="247"/>
      <c r="F38" s="134"/>
      <c r="G38" s="130"/>
      <c r="H38" s="131"/>
    </row>
    <row r="39" spans="2:5" ht="15.75" hidden="1">
      <c r="B39" s="244" t="s">
        <v>223</v>
      </c>
      <c r="C39" s="244"/>
      <c r="D39" s="244"/>
      <c r="E39" s="244"/>
    </row>
    <row r="40" spans="2:5" ht="15.75" hidden="1">
      <c r="B40" s="245" t="s">
        <v>224</v>
      </c>
      <c r="C40" s="245"/>
      <c r="D40" s="245"/>
      <c r="E40" s="245"/>
    </row>
    <row r="41" spans="2:5" ht="15.75" hidden="1">
      <c r="B41" s="245" t="s">
        <v>231</v>
      </c>
      <c r="C41" s="245"/>
      <c r="D41" s="245"/>
      <c r="E41" s="245"/>
    </row>
    <row r="42" spans="2:5" ht="15.75">
      <c r="B42" s="133"/>
      <c r="C42" s="133"/>
      <c r="D42" s="133"/>
      <c r="E42" s="133"/>
    </row>
    <row r="43" spans="2:8" ht="15.75">
      <c r="B43" s="37" t="s">
        <v>170</v>
      </c>
      <c r="C43" s="37"/>
      <c r="D43" s="37"/>
      <c r="E43" s="189" t="s">
        <v>241</v>
      </c>
      <c r="F43" s="189"/>
      <c r="G43" s="189"/>
      <c r="H43" s="189"/>
    </row>
    <row r="45" spans="2:5" ht="15.75">
      <c r="B45" s="37" t="s">
        <v>233</v>
      </c>
      <c r="C45" s="37"/>
      <c r="D45" s="37"/>
      <c r="E45" t="s">
        <v>242</v>
      </c>
    </row>
  </sheetData>
  <mergeCells count="33">
    <mergeCell ref="B13:D13"/>
    <mergeCell ref="B35:D35"/>
    <mergeCell ref="B36:D36"/>
    <mergeCell ref="E43:H43"/>
    <mergeCell ref="B14:F14"/>
    <mergeCell ref="B15:F15"/>
    <mergeCell ref="B16:F16"/>
    <mergeCell ref="B17:F17"/>
    <mergeCell ref="B19:D19"/>
    <mergeCell ref="B20:D20"/>
    <mergeCell ref="D1:H1"/>
    <mergeCell ref="A4:H4"/>
    <mergeCell ref="B12:D12"/>
    <mergeCell ref="B6:G6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1:E41"/>
    <mergeCell ref="B37:D37"/>
    <mergeCell ref="B38:E38"/>
    <mergeCell ref="B33:D33"/>
    <mergeCell ref="B34:D34"/>
    <mergeCell ref="B39:E39"/>
    <mergeCell ref="B40:E40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6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3">
      <selection activeCell="K23" sqref="K2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20.375" style="0" customWidth="1"/>
    <col min="6" max="6" width="17.75390625" style="0" hidden="1" customWidth="1"/>
    <col min="7" max="7" width="6.75390625" style="0" bestFit="1" customWidth="1"/>
    <col min="8" max="8" width="6.75390625" style="0" customWidth="1"/>
    <col min="9" max="9" width="14.625" style="0" customWidth="1"/>
    <col min="10" max="10" width="14.375" style="0" customWidth="1"/>
    <col min="11" max="11" width="11.50390625" style="0" customWidth="1"/>
  </cols>
  <sheetData>
    <row r="1" spans="1:11" ht="102" customHeight="1">
      <c r="A1" s="208" t="s">
        <v>213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61.5" customHeight="1">
      <c r="A2" s="209" t="s">
        <v>218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0" ht="18.75">
      <c r="A3" t="s">
        <v>84</v>
      </c>
      <c r="B3" s="1" t="s">
        <v>83</v>
      </c>
      <c r="C3" s="2"/>
      <c r="D3" s="2" t="s">
        <v>0</v>
      </c>
      <c r="E3" s="29">
        <v>3566.2</v>
      </c>
      <c r="F3" s="2"/>
      <c r="J3" s="75">
        <v>0</v>
      </c>
    </row>
    <row r="4" spans="2:10" ht="15.75">
      <c r="B4" s="3" t="s">
        <v>1</v>
      </c>
      <c r="C4" s="30">
        <v>5</v>
      </c>
      <c r="D4" s="2" t="s">
        <v>2</v>
      </c>
      <c r="E4" s="30">
        <v>80</v>
      </c>
      <c r="F4" s="2"/>
      <c r="J4" t="s">
        <v>96</v>
      </c>
    </row>
    <row r="5" spans="2:10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J5" s="2" t="s">
        <v>143</v>
      </c>
    </row>
    <row r="6" spans="2:10" ht="15.75">
      <c r="B6" s="3"/>
      <c r="C6" s="4"/>
      <c r="D6" s="2" t="s">
        <v>5</v>
      </c>
      <c r="E6" s="2" t="s">
        <v>16</v>
      </c>
      <c r="F6" s="2"/>
      <c r="G6" s="2"/>
      <c r="H6" s="2"/>
      <c r="J6" t="s">
        <v>144</v>
      </c>
    </row>
    <row r="7" spans="1:11" ht="42.75">
      <c r="A7" s="24" t="s">
        <v>61</v>
      </c>
      <c r="B7" s="179" t="s">
        <v>145</v>
      </c>
      <c r="C7" s="222"/>
      <c r="D7" s="223"/>
      <c r="E7" s="11" t="s">
        <v>6</v>
      </c>
      <c r="F7" s="11" t="s">
        <v>7</v>
      </c>
      <c r="G7" s="77" t="s">
        <v>22</v>
      </c>
      <c r="H7" s="148"/>
      <c r="I7" s="224" t="s">
        <v>146</v>
      </c>
      <c r="J7" s="225"/>
      <c r="K7" s="226"/>
    </row>
    <row r="8" spans="1:11" ht="15.75" customHeight="1">
      <c r="A8" s="25">
        <v>1</v>
      </c>
      <c r="B8" s="219"/>
      <c r="C8" s="220"/>
      <c r="D8" s="220"/>
      <c r="E8" s="220"/>
      <c r="F8" s="221"/>
      <c r="G8" s="78"/>
      <c r="H8" s="78"/>
      <c r="I8" s="79" t="s">
        <v>147</v>
      </c>
      <c r="J8" s="80" t="s">
        <v>148</v>
      </c>
      <c r="K8" s="80" t="s">
        <v>149</v>
      </c>
    </row>
    <row r="9" spans="1:11" ht="15.75" customHeight="1">
      <c r="A9" s="25"/>
      <c r="B9" s="219" t="s">
        <v>150</v>
      </c>
      <c r="C9" s="220"/>
      <c r="D9" s="220"/>
      <c r="E9" s="220"/>
      <c r="F9" s="221"/>
      <c r="G9" s="79"/>
      <c r="H9" s="79"/>
      <c r="I9" s="79"/>
      <c r="J9" s="44"/>
      <c r="K9" s="80"/>
    </row>
    <row r="10" spans="1:11" ht="27.75" customHeight="1">
      <c r="A10" s="81"/>
      <c r="B10" s="217" t="s">
        <v>151</v>
      </c>
      <c r="C10" s="217"/>
      <c r="D10" s="217"/>
      <c r="E10" s="217"/>
      <c r="F10" s="217"/>
      <c r="G10" s="15">
        <v>10.58</v>
      </c>
      <c r="H10" s="15">
        <v>11.21</v>
      </c>
      <c r="I10" s="151">
        <f>ROUND(G10*$E$3*6,2)+ROUND(H10*$E$3*4,2)</f>
        <v>386290.79000000004</v>
      </c>
      <c r="J10" s="66"/>
      <c r="K10" s="82">
        <f>I10+J10</f>
        <v>386290.79000000004</v>
      </c>
    </row>
    <row r="11" spans="1:11" ht="15.75">
      <c r="A11" s="81"/>
      <c r="B11" s="217" t="s">
        <v>152</v>
      </c>
      <c r="C11" s="217"/>
      <c r="D11" s="217"/>
      <c r="E11" s="217"/>
      <c r="F11" s="217"/>
      <c r="G11" s="15">
        <v>0.76</v>
      </c>
      <c r="H11" s="15">
        <v>0.8</v>
      </c>
      <c r="I11" s="151">
        <f>ROUND(G11*$E$3*6,2)+ROUND(H11*$E$3*4,2)</f>
        <v>27673.71</v>
      </c>
      <c r="J11" s="66"/>
      <c r="K11" s="82">
        <f>I11+J11</f>
        <v>27673.71</v>
      </c>
    </row>
    <row r="12" spans="1:11" ht="15.75" customHeight="1">
      <c r="A12" s="25"/>
      <c r="B12" s="217" t="s">
        <v>153</v>
      </c>
      <c r="C12" s="217"/>
      <c r="D12" s="217"/>
      <c r="E12" s="217"/>
      <c r="F12" s="217"/>
      <c r="G12" s="15"/>
      <c r="H12" s="15"/>
      <c r="I12" s="34"/>
      <c r="J12" s="83">
        <v>0</v>
      </c>
      <c r="K12" s="82">
        <f>I12+J12</f>
        <v>0</v>
      </c>
    </row>
    <row r="13" spans="1:11" ht="15.75" customHeight="1">
      <c r="A13" s="25"/>
      <c r="B13" s="217" t="s">
        <v>154</v>
      </c>
      <c r="C13" s="217"/>
      <c r="D13" s="217"/>
      <c r="E13" s="217"/>
      <c r="F13" s="217"/>
      <c r="G13" s="15"/>
      <c r="H13" s="15"/>
      <c r="I13" s="34"/>
      <c r="J13" s="83">
        <v>0</v>
      </c>
      <c r="K13" s="82">
        <f>I13+J13</f>
        <v>0</v>
      </c>
    </row>
    <row r="14" spans="1:11" ht="15.75" customHeight="1">
      <c r="A14" s="25"/>
      <c r="B14" s="205" t="s">
        <v>155</v>
      </c>
      <c r="C14" s="205"/>
      <c r="D14" s="205"/>
      <c r="E14" s="205"/>
      <c r="F14" s="205"/>
      <c r="G14" s="15"/>
      <c r="H14" s="15"/>
      <c r="I14" s="84">
        <f>SUM(I10:I12)</f>
        <v>413964.50000000006</v>
      </c>
      <c r="J14" s="85">
        <f>SUM(J10:J12)</f>
        <v>0</v>
      </c>
      <c r="K14" s="84">
        <f>SUM(K10:K13)</f>
        <v>413964.50000000006</v>
      </c>
    </row>
    <row r="15" spans="1:11" ht="15.75" customHeight="1">
      <c r="A15" s="25">
        <v>2</v>
      </c>
      <c r="B15" s="216" t="s">
        <v>74</v>
      </c>
      <c r="C15" s="216"/>
      <c r="D15" s="216"/>
      <c r="E15" s="216"/>
      <c r="F15" s="216"/>
      <c r="G15" s="15"/>
      <c r="H15" s="15"/>
      <c r="I15" s="34"/>
      <c r="J15" s="66"/>
      <c r="K15" s="48"/>
    </row>
    <row r="16" spans="1:11" ht="18.75" customHeight="1">
      <c r="A16" s="25" t="s">
        <v>139</v>
      </c>
      <c r="B16" s="19" t="s">
        <v>75</v>
      </c>
      <c r="C16" s="19"/>
      <c r="D16" s="19"/>
      <c r="E16" s="19"/>
      <c r="F16" s="5"/>
      <c r="G16" s="86"/>
      <c r="H16" s="86"/>
      <c r="I16" s="86"/>
      <c r="J16" s="76"/>
      <c r="K16" s="80"/>
    </row>
    <row r="17" spans="1:11" ht="31.5">
      <c r="A17" s="87"/>
      <c r="B17" s="178" t="s">
        <v>156</v>
      </c>
      <c r="C17" s="178"/>
      <c r="D17" s="178"/>
      <c r="E17" s="88" t="s">
        <v>32</v>
      </c>
      <c r="F17" s="69" t="s">
        <v>24</v>
      </c>
      <c r="G17" s="70">
        <v>1.06</v>
      </c>
      <c r="H17" s="70">
        <v>1.12</v>
      </c>
      <c r="I17" s="151">
        <f>ROUND(G17*$E$3*6,2)+ROUND(H17*$E$3*4,2)</f>
        <v>38657.61</v>
      </c>
      <c r="J17" s="90">
        <f>$J$12*0</f>
        <v>0</v>
      </c>
      <c r="K17" s="91">
        <f>SUM(I17:J17)</f>
        <v>38657.61</v>
      </c>
    </row>
    <row r="18" spans="1:11" ht="15.75" customHeight="1">
      <c r="A18" s="25"/>
      <c r="B18" s="186" t="s">
        <v>17</v>
      </c>
      <c r="C18" s="186"/>
      <c r="D18" s="186"/>
      <c r="E18" s="88" t="s">
        <v>32</v>
      </c>
      <c r="F18" s="69" t="s">
        <v>19</v>
      </c>
      <c r="G18" s="70">
        <v>0.28</v>
      </c>
      <c r="H18" s="70">
        <v>0.3</v>
      </c>
      <c r="I18" s="151">
        <f>ROUND(G18*$E$3*6,2)+ROUND(H18*$E$3*4,2)</f>
        <v>10270.66</v>
      </c>
      <c r="J18" s="90">
        <f>$J$12*0</f>
        <v>0</v>
      </c>
      <c r="K18" s="91">
        <f>SUM(I18:J18)</f>
        <v>10270.66</v>
      </c>
    </row>
    <row r="19" spans="1:11" ht="15.75" customHeight="1">
      <c r="A19" s="25"/>
      <c r="B19" s="177" t="s">
        <v>23</v>
      </c>
      <c r="C19" s="177"/>
      <c r="D19" s="177"/>
      <c r="E19" s="92" t="s">
        <v>157</v>
      </c>
      <c r="F19" s="71" t="s">
        <v>20</v>
      </c>
      <c r="G19" s="70">
        <v>0.39</v>
      </c>
      <c r="H19" s="70">
        <v>0.41</v>
      </c>
      <c r="I19" s="89">
        <f>K19-J19</f>
        <v>7477.646</v>
      </c>
      <c r="J19" s="90">
        <f>$J$12*0</f>
        <v>0</v>
      </c>
      <c r="K19" s="155">
        <v>7477.646</v>
      </c>
    </row>
    <row r="20" spans="1:11" ht="33" customHeight="1">
      <c r="A20" s="87"/>
      <c r="B20" s="178" t="s">
        <v>31</v>
      </c>
      <c r="C20" s="178"/>
      <c r="D20" s="178"/>
      <c r="E20" s="94" t="s">
        <v>9</v>
      </c>
      <c r="F20" s="72" t="s">
        <v>10</v>
      </c>
      <c r="G20" s="70">
        <v>0.51</v>
      </c>
      <c r="H20" s="70">
        <v>0.54</v>
      </c>
      <c r="I20" s="151">
        <f>ROUND(G20*$E$3*6,2)+ROUND(H20*$E$3*4,2)</f>
        <v>18615.559999999998</v>
      </c>
      <c r="J20" s="90">
        <f>$J$12*0.04</f>
        <v>0</v>
      </c>
      <c r="K20" s="91">
        <f>SUM(I20:J20)</f>
        <v>18615.559999999998</v>
      </c>
    </row>
    <row r="21" spans="1:11" ht="38.25">
      <c r="A21" s="25"/>
      <c r="B21" s="177" t="s">
        <v>27</v>
      </c>
      <c r="C21" s="177"/>
      <c r="D21" s="177"/>
      <c r="E21" s="92" t="s">
        <v>158</v>
      </c>
      <c r="F21" s="71" t="s">
        <v>25</v>
      </c>
      <c r="G21" s="70">
        <v>0.12</v>
      </c>
      <c r="H21" s="70">
        <v>0.13</v>
      </c>
      <c r="I21" s="89">
        <f>K21-J21</f>
        <v>5229.25</v>
      </c>
      <c r="J21" s="90">
        <f>$J$12*0.01</f>
        <v>0</v>
      </c>
      <c r="K21" s="150">
        <v>5229.25</v>
      </c>
    </row>
    <row r="22" spans="1:11" ht="31.5">
      <c r="A22" s="87"/>
      <c r="B22" s="177" t="s">
        <v>11</v>
      </c>
      <c r="C22" s="177"/>
      <c r="D22" s="177"/>
      <c r="E22" s="92" t="s">
        <v>9</v>
      </c>
      <c r="F22" s="71" t="s">
        <v>12</v>
      </c>
      <c r="G22" s="70">
        <v>0</v>
      </c>
      <c r="H22" s="70">
        <v>0</v>
      </c>
      <c r="I22" s="89">
        <f>K22-J22</f>
        <v>0</v>
      </c>
      <c r="J22" s="90">
        <f>$J$12*0</f>
        <v>0</v>
      </c>
      <c r="K22" s="93">
        <f>G22*E3*12</f>
        <v>0</v>
      </c>
    </row>
    <row r="23" spans="1:11" ht="15.75" customHeight="1">
      <c r="A23" s="87"/>
      <c r="B23" s="177" t="s">
        <v>26</v>
      </c>
      <c r="C23" s="182"/>
      <c r="D23" s="182"/>
      <c r="E23" s="95" t="s">
        <v>13</v>
      </c>
      <c r="F23" s="68" t="s">
        <v>14</v>
      </c>
      <c r="G23" s="70">
        <v>0.05</v>
      </c>
      <c r="H23" s="70">
        <v>0.05</v>
      </c>
      <c r="I23" s="89">
        <f>K23-J23</f>
        <v>2173.5</v>
      </c>
      <c r="J23" s="90">
        <f>$J$12*0</f>
        <v>0</v>
      </c>
      <c r="K23" s="155">
        <v>2173.5</v>
      </c>
    </row>
    <row r="24" spans="1:11" ht="36.75" customHeight="1">
      <c r="A24" s="25"/>
      <c r="B24" s="177" t="s">
        <v>159</v>
      </c>
      <c r="C24" s="177"/>
      <c r="D24" s="177"/>
      <c r="E24" s="88" t="s">
        <v>36</v>
      </c>
      <c r="F24" s="96" t="s">
        <v>160</v>
      </c>
      <c r="G24" s="70">
        <v>2.15</v>
      </c>
      <c r="H24" s="70">
        <v>2.28</v>
      </c>
      <c r="I24" s="151">
        <f aca="true" t="shared" si="0" ref="I24:I29">ROUND(G24*$E$3*6,2)+ROUND(H24*$E$3*4,2)</f>
        <v>78527.72</v>
      </c>
      <c r="J24" s="90">
        <f>$J$12*0</f>
        <v>0</v>
      </c>
      <c r="K24" s="91">
        <f aca="true" t="shared" si="1" ref="K24:K29">SUM(I24:J24)</f>
        <v>78527.72</v>
      </c>
    </row>
    <row r="25" spans="1:11" ht="25.5">
      <c r="A25" s="25"/>
      <c r="B25" s="186" t="s">
        <v>15</v>
      </c>
      <c r="C25" s="186"/>
      <c r="D25" s="186"/>
      <c r="E25" s="88" t="s">
        <v>36</v>
      </c>
      <c r="F25" s="96" t="s">
        <v>160</v>
      </c>
      <c r="G25" s="70">
        <v>0.44</v>
      </c>
      <c r="H25" s="70">
        <v>0.47</v>
      </c>
      <c r="I25" s="151">
        <f t="shared" si="0"/>
        <v>16119.23</v>
      </c>
      <c r="J25" s="90">
        <v>0</v>
      </c>
      <c r="K25" s="91">
        <f t="shared" si="1"/>
        <v>16119.23</v>
      </c>
    </row>
    <row r="26" spans="1:11" ht="33" customHeight="1">
      <c r="A26" s="25"/>
      <c r="B26" s="199" t="s">
        <v>37</v>
      </c>
      <c r="C26" s="184"/>
      <c r="D26" s="185"/>
      <c r="E26" s="88" t="s">
        <v>36</v>
      </c>
      <c r="F26" s="96" t="s">
        <v>160</v>
      </c>
      <c r="G26" s="98">
        <f>3.46-G27-G28</f>
        <v>3.46</v>
      </c>
      <c r="H26" s="98">
        <f>3.67-H27-H28</f>
        <v>3.67</v>
      </c>
      <c r="I26" s="151">
        <f t="shared" si="0"/>
        <v>126386.13</v>
      </c>
      <c r="J26" s="99">
        <f>$J$12*0.22</f>
        <v>0</v>
      </c>
      <c r="K26" s="91">
        <f t="shared" si="1"/>
        <v>126386.13</v>
      </c>
    </row>
    <row r="27" spans="1:11" ht="31.5" customHeight="1">
      <c r="A27" s="87"/>
      <c r="B27" s="177" t="s">
        <v>161</v>
      </c>
      <c r="C27" s="177"/>
      <c r="D27" s="177"/>
      <c r="E27" s="88" t="s">
        <v>36</v>
      </c>
      <c r="F27" s="96" t="s">
        <v>160</v>
      </c>
      <c r="G27" s="98">
        <v>0</v>
      </c>
      <c r="H27" s="98">
        <v>0</v>
      </c>
      <c r="I27" s="151">
        <f t="shared" si="0"/>
        <v>0</v>
      </c>
      <c r="J27" s="99">
        <f>$J$12*0</f>
        <v>0</v>
      </c>
      <c r="K27" s="91">
        <f t="shared" si="1"/>
        <v>0</v>
      </c>
    </row>
    <row r="28" spans="1:11" ht="15.75">
      <c r="A28" s="25"/>
      <c r="B28" s="177" t="s">
        <v>162</v>
      </c>
      <c r="C28" s="177"/>
      <c r="D28" s="177"/>
      <c r="E28" s="92" t="s">
        <v>9</v>
      </c>
      <c r="F28" s="96" t="s">
        <v>160</v>
      </c>
      <c r="G28" s="98">
        <v>0</v>
      </c>
      <c r="H28" s="98">
        <v>0</v>
      </c>
      <c r="I28" s="151">
        <f t="shared" si="0"/>
        <v>0</v>
      </c>
      <c r="J28" s="99">
        <f>$J$12*0</f>
        <v>0</v>
      </c>
      <c r="K28" s="91">
        <f t="shared" si="1"/>
        <v>0</v>
      </c>
    </row>
    <row r="29" spans="1:11" ht="25.5">
      <c r="A29" s="25"/>
      <c r="B29" s="182" t="s">
        <v>21</v>
      </c>
      <c r="C29" s="182"/>
      <c r="D29" s="182"/>
      <c r="E29" s="92" t="s">
        <v>36</v>
      </c>
      <c r="F29" s="96" t="s">
        <v>160</v>
      </c>
      <c r="G29" s="68">
        <v>1.06</v>
      </c>
      <c r="H29" s="68">
        <v>1.12</v>
      </c>
      <c r="I29" s="151">
        <f t="shared" si="0"/>
        <v>38657.61</v>
      </c>
      <c r="J29" s="90">
        <f>$J$12*0.1</f>
        <v>0</v>
      </c>
      <c r="K29" s="91">
        <f t="shared" si="1"/>
        <v>38657.61</v>
      </c>
    </row>
    <row r="30" spans="1:11" ht="15.75" customHeight="1">
      <c r="A30" s="25"/>
      <c r="B30" s="190"/>
      <c r="C30" s="191"/>
      <c r="D30" s="192"/>
      <c r="E30" s="92"/>
      <c r="F30" s="96"/>
      <c r="G30" s="68"/>
      <c r="H30" s="68"/>
      <c r="I30" s="97"/>
      <c r="J30" s="83"/>
      <c r="K30" s="100"/>
    </row>
    <row r="31" spans="1:11" ht="15.75">
      <c r="A31" s="25"/>
      <c r="B31" s="190"/>
      <c r="C31" s="191"/>
      <c r="D31" s="192"/>
      <c r="E31" s="92"/>
      <c r="F31" s="96"/>
      <c r="G31" s="68"/>
      <c r="H31" s="68"/>
      <c r="I31" s="97"/>
      <c r="J31" s="83"/>
      <c r="K31" s="100"/>
    </row>
    <row r="32" spans="1:11" ht="15.75">
      <c r="A32" s="25"/>
      <c r="B32" s="211" t="s">
        <v>30</v>
      </c>
      <c r="C32" s="211"/>
      <c r="D32" s="211"/>
      <c r="E32" s="14"/>
      <c r="F32" s="96"/>
      <c r="G32" s="22">
        <f>SUM(G17:G29)</f>
        <v>9.520000000000001</v>
      </c>
      <c r="H32" s="22">
        <f>SUM(H17:H29)</f>
        <v>10.09</v>
      </c>
      <c r="I32" s="101">
        <f>SUM(I17:I31)</f>
        <v>342114.91599999997</v>
      </c>
      <c r="J32" s="102">
        <f>SUM(J17:J31)</f>
        <v>0</v>
      </c>
      <c r="K32" s="101">
        <f>SUM(K17:K31)</f>
        <v>342114.91599999997</v>
      </c>
    </row>
    <row r="33" spans="1:11" ht="15.75">
      <c r="A33" s="25"/>
      <c r="B33" s="183" t="s">
        <v>163</v>
      </c>
      <c r="C33" s="184"/>
      <c r="D33" s="185"/>
      <c r="E33" s="92" t="s">
        <v>9</v>
      </c>
      <c r="F33" s="96"/>
      <c r="G33" s="68"/>
      <c r="H33" s="68"/>
      <c r="I33" s="97"/>
      <c r="J33" s="83"/>
      <c r="K33" s="100"/>
    </row>
    <row r="34" spans="1:11" ht="25.5">
      <c r="A34" s="25"/>
      <c r="B34" s="183" t="s">
        <v>164</v>
      </c>
      <c r="C34" s="184"/>
      <c r="D34" s="185"/>
      <c r="E34" s="88" t="s">
        <v>36</v>
      </c>
      <c r="F34" s="96"/>
      <c r="G34" s="68"/>
      <c r="H34" s="68"/>
      <c r="I34" s="97"/>
      <c r="J34" s="83"/>
      <c r="K34" s="100"/>
    </row>
    <row r="35" spans="1:11" ht="15.75">
      <c r="A35" s="25"/>
      <c r="B35" s="120"/>
      <c r="C35" s="121"/>
      <c r="D35" s="121"/>
      <c r="E35" s="122"/>
      <c r="F35" s="96"/>
      <c r="G35" s="22"/>
      <c r="H35" s="22"/>
      <c r="I35" s="101"/>
      <c r="J35" s="102"/>
      <c r="K35" s="101"/>
    </row>
    <row r="36" spans="1:11" ht="15.75" customHeight="1">
      <c r="A36" s="25" t="s">
        <v>165</v>
      </c>
      <c r="B36" s="193" t="s">
        <v>166</v>
      </c>
      <c r="C36" s="180"/>
      <c r="D36" s="180"/>
      <c r="E36" s="181"/>
      <c r="F36" s="96" t="s">
        <v>160</v>
      </c>
      <c r="G36" s="26">
        <f>I36/E3/12</f>
        <v>0</v>
      </c>
      <c r="H36" s="26"/>
      <c r="I36" s="149"/>
      <c r="J36" s="104">
        <v>0</v>
      </c>
      <c r="K36" s="84">
        <f>SUM(I36:J36)</f>
        <v>0</v>
      </c>
    </row>
    <row r="37" spans="1:11" ht="15.75" customHeight="1">
      <c r="A37" s="28"/>
      <c r="B37" s="188" t="s">
        <v>76</v>
      </c>
      <c r="C37" s="188"/>
      <c r="D37" s="188"/>
      <c r="E37" s="188"/>
      <c r="F37" s="188"/>
      <c r="G37" s="22">
        <f>SUM(G32:G36)</f>
        <v>9.520000000000001</v>
      </c>
      <c r="H37" s="22">
        <f>SUM(H32:H36)</f>
        <v>10.09</v>
      </c>
      <c r="I37" s="105">
        <f>SUM(I32:I36)</f>
        <v>342114.91599999997</v>
      </c>
      <c r="J37" s="106">
        <f>SUM(J32:J36)</f>
        <v>0</v>
      </c>
      <c r="K37" s="105">
        <f>SUM(K32:K36)</f>
        <v>342114.91599999997</v>
      </c>
    </row>
    <row r="38" spans="1:11" ht="15.75" customHeight="1">
      <c r="A38" s="25" t="s">
        <v>141</v>
      </c>
      <c r="B38" s="187" t="s">
        <v>167</v>
      </c>
      <c r="C38" s="187"/>
      <c r="D38" s="187"/>
      <c r="E38" s="187"/>
      <c r="F38" s="187"/>
      <c r="G38" s="26"/>
      <c r="H38" s="26"/>
      <c r="I38" s="107">
        <v>0</v>
      </c>
      <c r="J38" s="107">
        <v>0</v>
      </c>
      <c r="K38" s="108">
        <f>SUM(I38:J38)</f>
        <v>0</v>
      </c>
    </row>
    <row r="39" spans="1:11" ht="19.5" customHeight="1">
      <c r="A39" s="28"/>
      <c r="B39" s="188" t="s">
        <v>168</v>
      </c>
      <c r="C39" s="188"/>
      <c r="D39" s="188"/>
      <c r="E39" s="188"/>
      <c r="F39" s="188"/>
      <c r="G39" s="22">
        <f>SUM(G37:G38)</f>
        <v>9.520000000000001</v>
      </c>
      <c r="H39" s="22">
        <f>SUM(H37:H38)</f>
        <v>10.09</v>
      </c>
      <c r="I39" s="105">
        <f>SUM(I37:I38)</f>
        <v>342114.91599999997</v>
      </c>
      <c r="J39" s="106">
        <f>SUM(J37:J38)</f>
        <v>0</v>
      </c>
      <c r="K39" s="105">
        <f>SUM(K37:K38)</f>
        <v>342114.91599999997</v>
      </c>
    </row>
    <row r="40" spans="1:11" ht="15.75">
      <c r="A40" s="25">
        <v>3</v>
      </c>
      <c r="B40" s="199" t="s">
        <v>214</v>
      </c>
      <c r="C40" s="200"/>
      <c r="D40" s="200"/>
      <c r="E40" s="200"/>
      <c r="F40" s="200"/>
      <c r="G40" s="201"/>
      <c r="H40" s="145"/>
      <c r="I40" s="89">
        <f>I14-I39</f>
        <v>71849.58400000009</v>
      </c>
      <c r="J40" s="89">
        <f>J14-J39</f>
        <v>0</v>
      </c>
      <c r="K40" s="109">
        <f>K14-K39</f>
        <v>71849.58400000009</v>
      </c>
    </row>
    <row r="41" spans="2:6" ht="15.75">
      <c r="B41" s="37"/>
      <c r="F41" s="37"/>
    </row>
    <row r="42" spans="2:10" ht="15.75">
      <c r="B42" s="61" t="s">
        <v>170</v>
      </c>
      <c r="C42" s="61"/>
      <c r="D42" s="61"/>
      <c r="E42" s="37"/>
      <c r="F42" s="37"/>
      <c r="I42" s="227" t="s">
        <v>219</v>
      </c>
      <c r="J42" s="227"/>
    </row>
    <row r="43" spans="2:4" ht="15.75">
      <c r="B43" s="61"/>
      <c r="C43" s="61"/>
      <c r="D43" s="61"/>
    </row>
    <row r="44" spans="2:4" ht="15.75">
      <c r="B44" s="110" t="s">
        <v>172</v>
      </c>
      <c r="C44" s="110"/>
      <c r="D44" s="62"/>
    </row>
    <row r="45" spans="2:4" ht="15.75">
      <c r="B45" s="198" t="s">
        <v>173</v>
      </c>
      <c r="C45" s="198"/>
      <c r="D45" s="198"/>
    </row>
  </sheetData>
  <mergeCells count="37">
    <mergeCell ref="B45:D45"/>
    <mergeCell ref="B38:F38"/>
    <mergeCell ref="B39:F39"/>
    <mergeCell ref="B40:G40"/>
    <mergeCell ref="I42:J42"/>
    <mergeCell ref="B33:D33"/>
    <mergeCell ref="B34:D34"/>
    <mergeCell ref="B36:E36"/>
    <mergeCell ref="B37:F37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2013-03-20T09:14:35Z</cp:lastPrinted>
  <dcterms:created xsi:type="dcterms:W3CDTF">2009-08-26T03:25:10Z</dcterms:created>
  <dcterms:modified xsi:type="dcterms:W3CDTF">2013-04-05T03:25:55Z</dcterms:modified>
  <cp:category/>
  <cp:version/>
  <cp:contentType/>
  <cp:contentStatus/>
</cp:coreProperties>
</file>